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040" activeTab="1"/>
  </bookViews>
  <sheets>
    <sheet name="Wieloletnia Prognoza Finansowa" sheetId="1" r:id="rId1"/>
    <sheet name="Wykaz przesięwzięć do WPF" sheetId="2" r:id="rId2"/>
  </sheets>
  <definedNames>
    <definedName name="_xlnm.Print_Area" localSheetId="0">'Wieloletnia Prognoza Finansowa'!$A$2:$Q$60</definedName>
    <definedName name="_xlnm.Print_Area" localSheetId="1">'Wykaz przesięwzięć do WPF'!$A$1:$P$35</definedName>
    <definedName name="_xlnm.Print_Titles" localSheetId="0">'Wieloletnia Prognoza Finansowa'!$A:$B,'Wieloletnia Prognoza Finansowa'!$4:$4</definedName>
  </definedNames>
  <calcPr fullCalcOnLoad="1"/>
</workbook>
</file>

<file path=xl/sharedStrings.xml><?xml version="1.0" encoding="utf-8"?>
<sst xmlns="http://schemas.openxmlformats.org/spreadsheetml/2006/main" count="149" uniqueCount="128">
  <si>
    <t>załącznik nr 2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</si>
  <si>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</si>
  <si>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</si>
  <si>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</si>
  <si>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</si>
  <si>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</si>
  <si>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</si>
  <si>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</si>
  <si>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</si>
  <si>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</si>
  <si>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</si>
  <si>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</si>
  <si>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</si>
  <si>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</si>
  <si>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LIMITY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</si>
  <si>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</si>
  <si>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</si>
  <si>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</si>
  <si>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</si>
  <si>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</si>
  <si>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</si>
  <si>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art..5 ust.1 pkt 2 i 3 (razem)</t>
  </si>
  <si>
    <t>Starostwo Powiatowe</t>
  </si>
  <si>
    <t>b) programy, projekty lub zadania związane z umowami partnerstwa publiczno-prywatnego (razem)</t>
  </si>
  <si>
    <t xml:space="preserve">c) programy, projekty lub zadania pozostałe                                                                                                                                                                                                                    </t>
  </si>
  <si>
    <t>2) umowy, których realizacja w roku budżetowym i w latach następnych jest niezbędna dla zapewnienia ciągłości działania jednostki i których płatności przypadają w okresie dłuższym niż rok</t>
  </si>
  <si>
    <t>Dostawa tablic rejestracyjnych</t>
  </si>
  <si>
    <t>Obsługa prawna</t>
  </si>
  <si>
    <t>Realizacja zadań z zakresu usług teleinformatycznych</t>
  </si>
  <si>
    <t>Realizacja zadań z zakresu usług zdrowotnych</t>
  </si>
  <si>
    <t xml:space="preserve"> Konserwacja dźwigu</t>
  </si>
  <si>
    <t>3) gwarancje i poręczenia udzielane przez jednostki samorządu terytorialnego (razem)</t>
  </si>
  <si>
    <t>Poręczenie pozyczki WFOŚiGW dla ZZOZ-u dla zadania "Termomodernizacja Szpitala Śląskiego przy ul. Bielskiej w Cieszynie</t>
  </si>
  <si>
    <t xml:space="preserve"> Zimowe utrzymanie dróg powiatowych i chodników w granicach Gminy Skoczów</t>
  </si>
  <si>
    <t xml:space="preserve"> Zimowe utrzymanie dróg powiatowych i chodników w granicach Gminy Brenna</t>
  </si>
  <si>
    <t>Dostawa druków do  rejestracji pojazdów i wydawania praw jazdy (umowa z PWPW)</t>
  </si>
  <si>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</si>
  <si>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</si>
  <si>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</si>
  <si>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</si>
  <si>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</si>
  <si>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</si>
  <si>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</si>
  <si>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</si>
  <si>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</si>
  <si>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</si>
  <si>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</si>
  <si>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</si>
  <si>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</si>
  <si>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</si>
  <si>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</si>
  <si>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</si>
  <si>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</si>
  <si>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</si>
  <si>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</si>
  <si>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</si>
  <si>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</si>
  <si>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</si>
  <si>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</si>
  <si>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</si>
  <si>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</si>
  <si>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</si>
  <si>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</si>
  <si>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</si>
  <si>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</si>
  <si>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</si>
  <si>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</si>
  <si>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</si>
  <si>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</si>
  <si>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</si>
  <si>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</si>
  <si>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</si>
  <si>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(1-2)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</si>
  <si>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</si>
  <si>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</si>
  <si>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</si>
  <si>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</si>
  <si>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</si>
  <si>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</si>
  <si>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</si>
  <si>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</si>
  <si>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</si>
  <si>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</si>
  <si>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</si>
  <si>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</si>
  <si>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</si>
  <si>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</si>
  <si>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art.226 ust.4 ufp (przedsięwzięcia WPF)</t>
  </si>
  <si>
    <t>Przychody (kredyty, pożyczki, emisje obligacji)</t>
  </si>
  <si>
    <t>Rozliczenie budżetu (9-10+11)</t>
  </si>
  <si>
    <t>CZĘŚĆ II - Prognoza kwoty długu</t>
  </si>
  <si>
    <t xml:space="preserve">Kwota długu, 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</si>
  <si>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</si>
  <si>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</si>
  <si>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</si>
  <si>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</si>
  <si>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</si>
  <si>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</si>
  <si>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</si>
  <si>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</si>
  <si>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</si>
  <si>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</si>
  <si>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</si>
  <si>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art243 ufp po uwzględnieniu art.244 ufp</t>
  </si>
  <si>
    <t>łączna kwota wyłączeń z art.243 ust.3 pkt 1 ufp oraz art.169 ust.3 sufp</t>
  </si>
  <si>
    <t>Spełnienie wskaźnika spłaty z art.169 sufp</t>
  </si>
  <si>
    <t>Zadłużenie / dochody ogółem                                 [(13-13a):1]-max 60% z art..170 sufp</t>
  </si>
  <si>
    <t>Wydatki bieżące razem (2+7b)</t>
  </si>
  <si>
    <t>Wydatki ogółem (10+19)</t>
  </si>
  <si>
    <t>Przychody budżetu (4+5+11)</t>
  </si>
  <si>
    <t>Rozchody budżetu (7a+8)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</si>
  <si>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</si>
  <si>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</si>
  <si>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</si>
  <si>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</si>
  <si>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</si>
  <si>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</si>
  <si>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</si>
  <si>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</si>
  <si>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</si>
  <si>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</si>
  <si>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</si>
  <si>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>Wykonanie 2010</t>
  </si>
  <si>
    <t>Plan 3kw 2011</t>
  </si>
  <si>
    <t>Wykaz przedsięwzięć realizowanych w latach 2012 - 2019</t>
  </si>
  <si>
    <t>Przebudowa drogi powiatowej nr 2636 S w Zabłociu</t>
  </si>
  <si>
    <t>Przebudowa skrzyżowania drogi wojewódzkiej nr 941 z ul. Skoczowską i ul. Wiejską w Ustroniu Nierodzimiu</t>
  </si>
  <si>
    <t>Wynik budżetu (1-21) (nadwyżka/deficyt)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</si>
</sst>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6" fillId="0" borderId="0">
      <alignment/>
      <protection/>
    </xf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vertical="top" wrapText="1"/>
    </xf>
    <xf numFmtId="3" fontId="0" fillId="2" borderId="1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2" borderId="10" xfId="0" applyNumberFormat="1" applyFont="1" applyFill="1" applyBorder="1" applyAlignment="1">
      <alignment/>
    </xf>
    <xf numFmtId="10" fontId="0" fillId="0" borderId="10" xfId="53" applyNumberFormat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0" fillId="15" borderId="10" xfId="0" applyFill="1" applyBorder="1" applyAlignment="1">
      <alignment vertical="top" wrapText="1"/>
    </xf>
    <xf numFmtId="4" fontId="0" fillId="15" borderId="10" xfId="53" applyNumberFormat="1" applyFill="1" applyBorder="1" applyAlignment="1">
      <alignment/>
    </xf>
    <xf numFmtId="3" fontId="0" fillId="15" borderId="10" xfId="53" applyNumberFormat="1" applyFill="1" applyBorder="1" applyAlignment="1">
      <alignment/>
    </xf>
    <xf numFmtId="0" fontId="0" fillId="15" borderId="0" xfId="0" applyFill="1" applyBorder="1" applyAlignment="1">
      <alignment/>
    </xf>
    <xf numFmtId="10" fontId="0" fillId="18" borderId="10" xfId="53" applyNumberFormat="1" applyFill="1" applyBorder="1" applyAlignment="1">
      <alignment/>
    </xf>
    <xf numFmtId="4" fontId="0" fillId="18" borderId="10" xfId="53" applyNumberFormat="1" applyFill="1" applyBorder="1" applyAlignment="1">
      <alignment/>
    </xf>
    <xf numFmtId="3" fontId="0" fillId="18" borderId="10" xfId="53" applyNumberForma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" fontId="0" fillId="0" borderId="10" xfId="53" applyNumberFormat="1" applyFill="1" applyBorder="1" applyAlignment="1">
      <alignment/>
    </xf>
    <xf numFmtId="3" fontId="0" fillId="0" borderId="10" xfId="53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2" fontId="0" fillId="18" borderId="10" xfId="53" applyNumberFormat="1" applyFill="1" applyBorder="1" applyAlignment="1">
      <alignment/>
    </xf>
    <xf numFmtId="2" fontId="0" fillId="0" borderId="10" xfId="53" applyNumberFormat="1" applyBorder="1" applyAlignment="1">
      <alignment/>
    </xf>
    <xf numFmtId="0" fontId="20" fillId="0" borderId="17" xfId="0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right" vertical="top"/>
    </xf>
    <xf numFmtId="0" fontId="22" fillId="0" borderId="18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9" xfId="0" applyNumberFormat="1" applyFont="1" applyFill="1" applyBorder="1" applyAlignment="1">
      <alignment vertical="center"/>
    </xf>
    <xf numFmtId="0" fontId="26" fillId="0" borderId="10" xfId="51" applyBorder="1" applyAlignment="1">
      <alignment vertical="top"/>
      <protection/>
    </xf>
    <xf numFmtId="0" fontId="20" fillId="0" borderId="20" xfId="51" applyFont="1" applyBorder="1" applyAlignment="1">
      <alignment horizontal="center" vertical="center"/>
      <protection/>
    </xf>
    <xf numFmtId="0" fontId="20" fillId="0" borderId="21" xfId="51" applyFont="1" applyBorder="1" applyAlignment="1">
      <alignment horizontal="center" vertical="center"/>
      <protection/>
    </xf>
    <xf numFmtId="0" fontId="20" fillId="0" borderId="10" xfId="51" applyFont="1" applyBorder="1" applyAlignment="1">
      <alignment horizontal="center" vertical="center" wrapText="1"/>
      <protection/>
    </xf>
    <xf numFmtId="0" fontId="20" fillId="0" borderId="10" xfId="51" applyFont="1" applyBorder="1" applyAlignment="1">
      <alignment horizontal="center" vertical="center"/>
      <protection/>
    </xf>
    <xf numFmtId="0" fontId="20" fillId="14" borderId="10" xfId="51" applyFont="1" applyFill="1" applyBorder="1" applyAlignment="1">
      <alignment horizontal="center" vertical="center" wrapText="1"/>
      <protection/>
    </xf>
    <xf numFmtId="0" fontId="20" fillId="0" borderId="22" xfId="51" applyFont="1" applyBorder="1" applyAlignment="1">
      <alignment horizontal="center" vertical="center" wrapText="1"/>
      <protection/>
    </xf>
    <xf numFmtId="0" fontId="20" fillId="0" borderId="10" xfId="51" applyFont="1" applyBorder="1" applyAlignment="1">
      <alignment vertical="center"/>
      <protection/>
    </xf>
    <xf numFmtId="0" fontId="20" fillId="0" borderId="23" xfId="51" applyFont="1" applyBorder="1" applyAlignment="1">
      <alignment horizontal="center" vertical="center"/>
      <protection/>
    </xf>
    <xf numFmtId="0" fontId="20" fillId="0" borderId="24" xfId="51" applyFont="1" applyBorder="1" applyAlignment="1">
      <alignment horizontal="center" vertical="center"/>
      <protection/>
    </xf>
    <xf numFmtId="0" fontId="20" fillId="0" borderId="10" xfId="51" applyFont="1" applyBorder="1" applyAlignment="1">
      <alignment horizontal="center" vertical="center"/>
      <protection/>
    </xf>
    <xf numFmtId="0" fontId="20" fillId="0" borderId="25" xfId="51" applyFont="1" applyBorder="1" applyAlignment="1">
      <alignment horizontal="center" vertical="center" wrapText="1"/>
      <protection/>
    </xf>
    <xf numFmtId="0" fontId="19" fillId="0" borderId="26" xfId="51" applyFont="1" applyBorder="1" applyAlignment="1">
      <alignment vertical="top"/>
      <protection/>
    </xf>
    <xf numFmtId="0" fontId="19" fillId="0" borderId="27" xfId="51" applyFont="1" applyBorder="1" applyAlignment="1">
      <alignment vertical="top"/>
      <protection/>
    </xf>
    <xf numFmtId="0" fontId="19" fillId="0" borderId="10" xfId="51" applyFont="1" applyBorder="1" applyAlignment="1">
      <alignment vertical="top"/>
      <protection/>
    </xf>
    <xf numFmtId="3" fontId="19" fillId="0" borderId="10" xfId="51" applyNumberFormat="1" applyFont="1" applyBorder="1" applyAlignment="1">
      <alignment vertical="top"/>
      <protection/>
    </xf>
    <xf numFmtId="0" fontId="19" fillId="18" borderId="26" xfId="51" applyFont="1" applyFill="1" applyBorder="1" applyAlignment="1">
      <alignment vertical="top"/>
      <protection/>
    </xf>
    <xf numFmtId="0" fontId="19" fillId="18" borderId="27" xfId="51" applyFont="1" applyFill="1" applyBorder="1" applyAlignment="1">
      <alignment vertical="top"/>
      <protection/>
    </xf>
    <xf numFmtId="0" fontId="19" fillId="18" borderId="10" xfId="51" applyFont="1" applyFill="1" applyBorder="1" applyAlignment="1">
      <alignment vertical="top"/>
      <protection/>
    </xf>
    <xf numFmtId="3" fontId="19" fillId="18" borderId="10" xfId="51" applyNumberFormat="1" applyFont="1" applyFill="1" applyBorder="1" applyAlignment="1">
      <alignment vertical="top"/>
      <protection/>
    </xf>
    <xf numFmtId="0" fontId="19" fillId="2" borderId="26" xfId="51" applyFont="1" applyFill="1" applyBorder="1" applyAlignment="1">
      <alignment vertical="top"/>
      <protection/>
    </xf>
    <xf numFmtId="0" fontId="19" fillId="2" borderId="27" xfId="51" applyFont="1" applyFill="1" applyBorder="1" applyAlignment="1">
      <alignment vertical="top"/>
      <protection/>
    </xf>
    <xf numFmtId="0" fontId="19" fillId="2" borderId="10" xfId="51" applyFont="1" applyFill="1" applyBorder="1" applyAlignment="1">
      <alignment vertical="top"/>
      <protection/>
    </xf>
    <xf numFmtId="3" fontId="19" fillId="2" borderId="10" xfId="51" applyNumberFormat="1" applyFont="1" applyFill="1" applyBorder="1" applyAlignment="1">
      <alignment vertical="top"/>
      <protection/>
    </xf>
    <xf numFmtId="0" fontId="21" fillId="0" borderId="10" xfId="51" applyFont="1" applyBorder="1" applyAlignment="1">
      <alignment vertical="top"/>
      <protection/>
    </xf>
    <xf numFmtId="3" fontId="21" fillId="0" borderId="10" xfId="51" applyNumberFormat="1" applyFont="1" applyBorder="1" applyAlignment="1">
      <alignment vertical="top"/>
      <protection/>
    </xf>
    <xf numFmtId="0" fontId="21" fillId="18" borderId="26" xfId="51" applyFont="1" applyFill="1" applyBorder="1" applyAlignment="1">
      <alignment vertical="top"/>
      <protection/>
    </xf>
    <xf numFmtId="0" fontId="23" fillId="18" borderId="27" xfId="51" applyFont="1" applyFill="1" applyBorder="1" applyAlignment="1">
      <alignment vertical="top"/>
      <protection/>
    </xf>
    <xf numFmtId="0" fontId="23" fillId="18" borderId="10" xfId="51" applyFont="1" applyFill="1" applyBorder="1" applyAlignment="1">
      <alignment vertical="top"/>
      <protection/>
    </xf>
    <xf numFmtId="3" fontId="23" fillId="18" borderId="10" xfId="51" applyNumberFormat="1" applyFont="1" applyFill="1" applyBorder="1" applyAlignment="1">
      <alignment vertical="top"/>
      <protection/>
    </xf>
    <xf numFmtId="0" fontId="21" fillId="2" borderId="26" xfId="51" applyFont="1" applyFill="1" applyBorder="1" applyAlignment="1">
      <alignment vertical="top"/>
      <protection/>
    </xf>
    <xf numFmtId="0" fontId="23" fillId="2" borderId="27" xfId="51" applyFont="1" applyFill="1" applyBorder="1" applyAlignment="1">
      <alignment vertical="top"/>
      <protection/>
    </xf>
    <xf numFmtId="0" fontId="23" fillId="2" borderId="10" xfId="51" applyFont="1" applyFill="1" applyBorder="1" applyAlignment="1">
      <alignment vertical="top"/>
      <protection/>
    </xf>
    <xf numFmtId="3" fontId="23" fillId="2" borderId="10" xfId="51" applyNumberFormat="1" applyFont="1" applyFill="1" applyBorder="1" applyAlignment="1">
      <alignment vertical="top"/>
      <protection/>
    </xf>
    <xf numFmtId="3" fontId="26" fillId="0" borderId="10" xfId="51" applyNumberFormat="1" applyBorder="1" applyAlignment="1">
      <alignment vertical="top"/>
      <protection/>
    </xf>
    <xf numFmtId="0" fontId="20" fillId="18" borderId="10" xfId="51" applyFont="1" applyFill="1" applyBorder="1" applyAlignment="1">
      <alignment vertical="top"/>
      <protection/>
    </xf>
    <xf numFmtId="3" fontId="20" fillId="18" borderId="10" xfId="51" applyNumberFormat="1" applyFont="1" applyFill="1" applyBorder="1" applyAlignment="1">
      <alignment vertical="top"/>
      <protection/>
    </xf>
    <xf numFmtId="0" fontId="20" fillId="2" borderId="10" xfId="51" applyFont="1" applyFill="1" applyBorder="1" applyAlignment="1">
      <alignment vertical="top" wrapText="1"/>
      <protection/>
    </xf>
    <xf numFmtId="0" fontId="20" fillId="2" borderId="10" xfId="51" applyFont="1" applyFill="1" applyBorder="1" applyAlignment="1">
      <alignment vertical="top"/>
      <protection/>
    </xf>
    <xf numFmtId="3" fontId="20" fillId="2" borderId="10" xfId="51" applyNumberFormat="1" applyFont="1" applyFill="1" applyBorder="1" applyAlignment="1">
      <alignment vertical="top"/>
      <protection/>
    </xf>
    <xf numFmtId="3" fontId="26" fillId="14" borderId="10" xfId="51" applyNumberFormat="1" applyFill="1" applyBorder="1" applyAlignment="1">
      <alignment vertical="top"/>
      <protection/>
    </xf>
    <xf numFmtId="3" fontId="20" fillId="0" borderId="10" xfId="51" applyNumberFormat="1" applyFont="1" applyFill="1" applyBorder="1" applyAlignment="1">
      <alignment vertical="top"/>
      <protection/>
    </xf>
    <xf numFmtId="0" fontId="26" fillId="15" borderId="10" xfId="51" applyFill="1" applyBorder="1" applyAlignment="1">
      <alignment vertical="top"/>
      <protection/>
    </xf>
    <xf numFmtId="3" fontId="20" fillId="0" borderId="10" xfId="51" applyNumberFormat="1" applyFont="1" applyBorder="1" applyAlignment="1">
      <alignment vertical="top"/>
      <protection/>
    </xf>
    <xf numFmtId="3" fontId="0" fillId="0" borderId="10" xfId="51" applyNumberFormat="1" applyFont="1" applyFill="1" applyBorder="1" applyAlignment="1">
      <alignment vertical="top"/>
      <protection/>
    </xf>
    <xf numFmtId="0" fontId="0" fillId="0" borderId="10" xfId="51" applyFont="1" applyFill="1" applyBorder="1" applyAlignment="1">
      <alignment vertical="top" wrapText="1"/>
      <protection/>
    </xf>
    <xf numFmtId="0" fontId="0" fillId="0" borderId="10" xfId="51" applyFont="1" applyFill="1" applyBorder="1" applyAlignment="1">
      <alignment vertical="top"/>
      <protection/>
    </xf>
    <xf numFmtId="0" fontId="20" fillId="0" borderId="23" xfId="51" applyFont="1" applyFill="1" applyBorder="1" applyAlignment="1">
      <alignment horizontal="left" vertical="center" wrapText="1"/>
      <protection/>
    </xf>
    <xf numFmtId="0" fontId="20" fillId="0" borderId="24" xfId="5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25" xfId="51" applyFont="1" applyFill="1" applyBorder="1" applyAlignment="1">
      <alignment horizontal="center" vertical="center"/>
      <protection/>
    </xf>
    <xf numFmtId="3" fontId="0" fillId="0" borderId="25" xfId="51" applyNumberFormat="1" applyFont="1" applyFill="1" applyBorder="1" applyAlignment="1">
      <alignment horizontal="center" vertical="center"/>
      <protection/>
    </xf>
    <xf numFmtId="3" fontId="0" fillId="0" borderId="25" xfId="51" applyNumberFormat="1" applyFont="1" applyFill="1" applyBorder="1" applyAlignment="1">
      <alignment horizontal="center" vertical="top"/>
      <protection/>
    </xf>
    <xf numFmtId="3" fontId="25" fillId="14" borderId="25" xfId="51" applyNumberFormat="1" applyFont="1" applyFill="1" applyBorder="1" applyAlignment="1">
      <alignment horizontal="right" vertical="top" wrapText="1"/>
      <protection/>
    </xf>
    <xf numFmtId="0" fontId="0" fillId="0" borderId="25" xfId="51" applyFont="1" applyFill="1" applyBorder="1" applyAlignment="1">
      <alignment horizontal="center" vertical="top"/>
      <protection/>
    </xf>
    <xf numFmtId="3" fontId="0" fillId="0" borderId="25" xfId="51" applyNumberFormat="1" applyFont="1" applyFill="1" applyBorder="1" applyAlignment="1">
      <alignment horizontal="right" vertical="center"/>
      <protection/>
    </xf>
    <xf numFmtId="0" fontId="21" fillId="0" borderId="26" xfId="51" applyFont="1" applyBorder="1" applyAlignment="1">
      <alignment horizontal="left" vertical="top" wrapText="1"/>
      <protection/>
    </xf>
    <xf numFmtId="0" fontId="21" fillId="0" borderId="28" xfId="51" applyFont="1" applyBorder="1" applyAlignment="1">
      <alignment horizontal="left" vertical="top" wrapText="1"/>
      <protection/>
    </xf>
    <xf numFmtId="0" fontId="21" fillId="0" borderId="27" xfId="51" applyFont="1" applyBorder="1" applyAlignment="1">
      <alignment horizontal="left" vertical="top" wrapText="1"/>
      <protection/>
    </xf>
    <xf numFmtId="0" fontId="24" fillId="0" borderId="10" xfId="51" applyFont="1" applyBorder="1" applyAlignment="1">
      <alignment vertical="top"/>
      <protection/>
    </xf>
    <xf numFmtId="3" fontId="24" fillId="0" borderId="10" xfId="51" applyNumberFormat="1" applyFont="1" applyBorder="1" applyAlignment="1">
      <alignment vertical="top"/>
      <protection/>
    </xf>
    <xf numFmtId="0" fontId="24" fillId="18" borderId="10" xfId="51" applyFont="1" applyFill="1" applyBorder="1" applyAlignment="1">
      <alignment vertical="top"/>
      <protection/>
    </xf>
    <xf numFmtId="3" fontId="24" fillId="18" borderId="10" xfId="51" applyNumberFormat="1" applyFont="1" applyFill="1" applyBorder="1" applyAlignment="1">
      <alignment vertical="top"/>
      <protection/>
    </xf>
    <xf numFmtId="0" fontId="24" fillId="2" borderId="10" xfId="51" applyFont="1" applyFill="1" applyBorder="1" applyAlignment="1">
      <alignment vertical="top"/>
      <protection/>
    </xf>
    <xf numFmtId="3" fontId="24" fillId="14" borderId="10" xfId="51" applyNumberFormat="1" applyFont="1" applyFill="1" applyBorder="1" applyAlignment="1">
      <alignment vertical="top"/>
      <protection/>
    </xf>
    <xf numFmtId="0" fontId="26" fillId="14" borderId="10" xfId="51" applyFill="1" applyBorder="1" applyAlignment="1">
      <alignment vertical="top"/>
      <protection/>
    </xf>
    <xf numFmtId="0" fontId="0" fillId="0" borderId="11" xfId="51" applyFont="1" applyFill="1" applyBorder="1" applyAlignment="1">
      <alignment horizontal="left" vertical="top" wrapText="1"/>
      <protection/>
    </xf>
    <xf numFmtId="0" fontId="0" fillId="0" borderId="13" xfId="51" applyFont="1" applyFill="1" applyBorder="1" applyAlignment="1">
      <alignment horizontal="left" vertical="top" wrapText="1"/>
      <protection/>
    </xf>
    <xf numFmtId="0" fontId="19" fillId="0" borderId="18" xfId="51" applyFont="1" applyBorder="1" applyAlignment="1">
      <alignment horizontal="center" vertical="top"/>
      <protection/>
    </xf>
    <xf numFmtId="0" fontId="26" fillId="0" borderId="13" xfId="51" applyBorder="1" applyAlignment="1">
      <alignment vertical="top"/>
      <protection/>
    </xf>
    <xf numFmtId="0" fontId="19" fillId="0" borderId="18" xfId="51" applyFont="1" applyBorder="1" applyAlignment="1">
      <alignment horizontal="right" vertical="top"/>
      <protection/>
    </xf>
    <xf numFmtId="3" fontId="31" fillId="0" borderId="10" xfId="51" applyNumberFormat="1" applyFont="1" applyBorder="1" applyAlignment="1">
      <alignment vertical="top"/>
      <protection/>
    </xf>
    <xf numFmtId="3" fontId="22" fillId="2" borderId="10" xfId="51" applyNumberFormat="1" applyFont="1" applyFill="1" applyBorder="1" applyAlignment="1">
      <alignment vertical="top"/>
      <protection/>
    </xf>
    <xf numFmtId="0" fontId="31" fillId="0" borderId="26" xfId="51" applyFont="1" applyFill="1" applyBorder="1" applyAlignment="1">
      <alignment horizontal="left" vertical="center" wrapText="1"/>
      <protection/>
    </xf>
    <xf numFmtId="0" fontId="31" fillId="0" borderId="27" xfId="51" applyFont="1" applyFill="1" applyBorder="1" applyAlignment="1">
      <alignment horizontal="left" vertical="center" wrapText="1"/>
      <protection/>
    </xf>
    <xf numFmtId="0" fontId="31" fillId="0" borderId="10" xfId="51" applyFont="1" applyFill="1" applyBorder="1" applyAlignment="1">
      <alignment vertical="top" wrapText="1"/>
      <protection/>
    </xf>
    <xf numFmtId="0" fontId="31" fillId="0" borderId="10" xfId="51" applyFont="1" applyFill="1" applyBorder="1" applyAlignment="1">
      <alignment vertical="top"/>
      <protection/>
    </xf>
    <xf numFmtId="3" fontId="31" fillId="0" borderId="10" xfId="51" applyNumberFormat="1" applyFont="1" applyFill="1" applyBorder="1" applyAlignment="1">
      <alignment vertical="top"/>
      <protection/>
    </xf>
    <xf numFmtId="3" fontId="31" fillId="14" borderId="10" xfId="51" applyNumberFormat="1" applyFont="1" applyFill="1" applyBorder="1" applyAlignment="1">
      <alignment vertical="top"/>
      <protection/>
    </xf>
    <xf numFmtId="0" fontId="31" fillId="0" borderId="26" xfId="51" applyFont="1" applyBorder="1" applyAlignment="1">
      <alignment horizontal="left" vertical="top" wrapText="1"/>
      <protection/>
    </xf>
    <xf numFmtId="0" fontId="31" fillId="0" borderId="28" xfId="51" applyFont="1" applyBorder="1" applyAlignment="1">
      <alignment horizontal="left" vertical="top" wrapText="1"/>
      <protection/>
    </xf>
    <xf numFmtId="0" fontId="31" fillId="0" borderId="27" xfId="51" applyFont="1" applyBorder="1" applyAlignment="1">
      <alignment horizontal="left" vertical="top" wrapText="1"/>
      <protection/>
    </xf>
    <xf numFmtId="0" fontId="21" fillId="0" borderId="11" xfId="51" applyFont="1" applyBorder="1" applyAlignment="1">
      <alignment horizontal="left" vertical="top"/>
      <protection/>
    </xf>
    <xf numFmtId="0" fontId="21" fillId="0" borderId="12" xfId="51" applyFont="1" applyBorder="1" applyAlignment="1">
      <alignment horizontal="left" vertical="top"/>
      <protection/>
    </xf>
    <xf numFmtId="0" fontId="21" fillId="0" borderId="13" xfId="51" applyFont="1" applyBorder="1" applyAlignment="1">
      <alignment horizontal="left" vertical="top"/>
      <protection/>
    </xf>
    <xf numFmtId="0" fontId="31" fillId="0" borderId="10" xfId="51" applyFont="1" applyBorder="1" applyAlignment="1">
      <alignment horizontal="left" vertical="top" wrapText="1"/>
      <protection/>
    </xf>
    <xf numFmtId="0" fontId="31" fillId="0" borderId="10" xfId="51" applyFont="1" applyBorder="1" applyAlignment="1">
      <alignment vertical="top"/>
      <protection/>
    </xf>
    <xf numFmtId="0" fontId="31" fillId="0" borderId="27" xfId="51" applyFont="1" applyBorder="1" applyAlignment="1">
      <alignment vertical="top" wrapText="1"/>
      <protection/>
    </xf>
    <xf numFmtId="0" fontId="31" fillId="0" borderId="26" xfId="51" applyFont="1" applyFill="1" applyBorder="1" applyAlignment="1">
      <alignment horizontal="left" vertical="top" wrapText="1"/>
      <protection/>
    </xf>
    <xf numFmtId="0" fontId="31" fillId="0" borderId="27" xfId="51" applyFont="1" applyFill="1" applyBorder="1" applyAlignment="1">
      <alignment horizontal="left" vertical="top" wrapText="1"/>
      <protection/>
    </xf>
    <xf numFmtId="0" fontId="22" fillId="18" borderId="26" xfId="51" applyFont="1" applyFill="1" applyBorder="1" applyAlignment="1">
      <alignment vertical="top"/>
      <protection/>
    </xf>
    <xf numFmtId="0" fontId="22" fillId="18" borderId="27" xfId="51" applyFont="1" applyFill="1" applyBorder="1" applyAlignment="1">
      <alignment vertical="top"/>
      <protection/>
    </xf>
    <xf numFmtId="0" fontId="22" fillId="2" borderId="26" xfId="51" applyFont="1" applyFill="1" applyBorder="1" applyAlignment="1">
      <alignment horizontal="left" vertical="top"/>
      <protection/>
    </xf>
    <xf numFmtId="0" fontId="22" fillId="2" borderId="27" xfId="51" applyFont="1" applyFill="1" applyBorder="1" applyAlignment="1">
      <alignment horizontal="left" vertical="top"/>
      <protection/>
    </xf>
    <xf numFmtId="0" fontId="22" fillId="18" borderId="26" xfId="51" applyFont="1" applyFill="1" applyBorder="1" applyAlignment="1">
      <alignment horizontal="left" vertical="top"/>
      <protection/>
    </xf>
    <xf numFmtId="0" fontId="22" fillId="18" borderId="27" xfId="51" applyFont="1" applyFill="1" applyBorder="1" applyAlignment="1">
      <alignment horizontal="left" vertical="top"/>
      <protection/>
    </xf>
    <xf numFmtId="0" fontId="22" fillId="18" borderId="10" xfId="51" applyFont="1" applyFill="1" applyBorder="1" applyAlignment="1">
      <alignment vertical="top"/>
      <protection/>
    </xf>
    <xf numFmtId="3" fontId="22" fillId="18" borderId="10" xfId="51" applyNumberFormat="1" applyFont="1" applyFill="1" applyBorder="1" applyAlignment="1">
      <alignment vertical="top"/>
      <protection/>
    </xf>
    <xf numFmtId="0" fontId="22" fillId="2" borderId="10" xfId="51" applyFont="1" applyFill="1" applyBorder="1" applyAlignment="1">
      <alignment vertical="top"/>
      <protection/>
    </xf>
    <xf numFmtId="0" fontId="32" fillId="0" borderId="11" xfId="51" applyFont="1" applyFill="1" applyBorder="1" applyAlignment="1">
      <alignment horizontal="left" vertical="top" wrapText="1"/>
      <protection/>
    </xf>
    <xf numFmtId="0" fontId="32" fillId="0" borderId="13" xfId="51" applyFont="1" applyFill="1" applyBorder="1" applyAlignment="1">
      <alignment horizontal="left" vertical="top" wrapText="1"/>
      <protection/>
    </xf>
    <xf numFmtId="0" fontId="32" fillId="0" borderId="10" xfId="51" applyFont="1" applyFill="1" applyBorder="1" applyAlignment="1">
      <alignment vertical="top"/>
      <protection/>
    </xf>
    <xf numFmtId="3" fontId="32" fillId="0" borderId="10" xfId="51" applyNumberFormat="1" applyFont="1" applyFill="1" applyBorder="1" applyAlignment="1">
      <alignment vertical="top"/>
      <protection/>
    </xf>
    <xf numFmtId="3" fontId="32" fillId="14" borderId="10" xfId="51" applyNumberFormat="1" applyFont="1" applyFill="1" applyBorder="1" applyAlignment="1">
      <alignment vertical="top"/>
      <protection/>
    </xf>
    <xf numFmtId="0" fontId="21" fillId="18" borderId="26" xfId="51" applyFont="1" applyFill="1" applyBorder="1" applyAlignment="1">
      <alignment horizontal="left" vertical="top"/>
      <protection/>
    </xf>
    <xf numFmtId="0" fontId="21" fillId="18" borderId="27" xfId="51" applyFont="1" applyFill="1" applyBorder="1" applyAlignment="1">
      <alignment horizontal="left" vertical="top"/>
      <protection/>
    </xf>
    <xf numFmtId="0" fontId="21" fillId="18" borderId="10" xfId="51" applyFont="1" applyFill="1" applyBorder="1" applyAlignment="1">
      <alignment vertical="top"/>
      <protection/>
    </xf>
    <xf numFmtId="3" fontId="21" fillId="18" borderId="10" xfId="51" applyNumberFormat="1" applyFont="1" applyFill="1" applyBorder="1" applyAlignment="1">
      <alignment vertical="top"/>
      <protection/>
    </xf>
    <xf numFmtId="0" fontId="31" fillId="0" borderId="11" xfId="51" applyFont="1" applyFill="1" applyBorder="1" applyAlignment="1">
      <alignment horizontal="left" vertical="top" wrapText="1"/>
      <protection/>
    </xf>
    <xf numFmtId="0" fontId="31" fillId="0" borderId="13" xfId="51" applyFont="1" applyFill="1" applyBorder="1" applyAlignment="1">
      <alignment horizontal="left" vertical="top" wrapText="1"/>
      <protection/>
    </xf>
    <xf numFmtId="0" fontId="21" fillId="2" borderId="26" xfId="51" applyFont="1" applyFill="1" applyBorder="1" applyAlignment="1">
      <alignment horizontal="left" vertical="top" wrapText="1"/>
      <protection/>
    </xf>
    <xf numFmtId="0" fontId="21" fillId="2" borderId="27" xfId="51" applyFont="1" applyFill="1" applyBorder="1" applyAlignment="1">
      <alignment horizontal="left" vertical="top" wrapText="1"/>
      <protection/>
    </xf>
    <xf numFmtId="0" fontId="21" fillId="2" borderId="10" xfId="51" applyFont="1" applyFill="1" applyBorder="1" applyAlignment="1">
      <alignment vertical="top"/>
      <protection/>
    </xf>
    <xf numFmtId="3" fontId="21" fillId="2" borderId="10" xfId="51" applyNumberFormat="1" applyFont="1" applyFill="1" applyBorder="1" applyAlignment="1">
      <alignment vertical="top"/>
      <protection/>
    </xf>
    <xf numFmtId="0" fontId="21" fillId="18" borderId="27" xfId="51" applyFont="1" applyFill="1" applyBorder="1" applyAlignment="1">
      <alignment vertical="top"/>
      <protection/>
    </xf>
    <xf numFmtId="0" fontId="31" fillId="0" borderId="10" xfId="51" applyFont="1" applyBorder="1" applyAlignment="1">
      <alignment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zedsięwzięcia w WPF 2012-201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0"/>
  <sheetViews>
    <sheetView view="pageBreakPreview" zoomScaleSheetLayoutView="100" zoomScalePageLayoutView="0" workbookViewId="0" topLeftCell="A1">
      <pane xSplit="2" ySplit="4" topLeftCell="C2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" sqref="K1"/>
    </sheetView>
  </sheetViews>
  <sheetFormatPr defaultColWidth="9.140625" defaultRowHeight="12.75"/>
  <cols>
    <col min="1" max="1" width="4.140625" style="50" customWidth="1"/>
    <col min="2" max="2" width="34.57421875" style="51" customWidth="1"/>
    <col min="3" max="3" width="14.00390625" style="52" hidden="1" customWidth="1"/>
    <col min="4" max="4" width="14.140625" style="52" hidden="1" customWidth="1"/>
    <col min="5" max="5" width="13.8515625" style="52" hidden="1" customWidth="1"/>
    <col min="6" max="6" width="14.421875" style="52" hidden="1" customWidth="1"/>
    <col min="7" max="7" width="14.28125" style="52" customWidth="1"/>
    <col min="8" max="9" width="13.8515625" style="52" customWidth="1"/>
    <col min="10" max="10" width="14.57421875" style="52" bestFit="1" customWidth="1"/>
    <col min="11" max="11" width="13.421875" style="53" customWidth="1"/>
    <col min="12" max="12" width="13.421875" style="52" customWidth="1"/>
    <col min="13" max="17" width="13.57421875" style="52" bestFit="1" customWidth="1"/>
    <col min="18" max="19" width="9.140625" style="4" customWidth="1"/>
    <col min="20" max="20" width="10.7109375" style="4" bestFit="1" customWidth="1"/>
    <col min="21" max="16384" width="9.140625" style="4" customWidth="1"/>
  </cols>
  <sheetData>
    <row r="3" spans="1:17" ht="22.5" customHeight="1">
      <c r="A3" s="63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2" t="s">
        <v>37</v>
      </c>
      <c r="P3" s="62"/>
      <c r="Q3" s="62"/>
    </row>
    <row r="4" spans="1:17" s="9" customFormat="1" ht="25.5">
      <c r="A4" s="3" t="s">
        <v>38</v>
      </c>
      <c r="B4" s="5" t="s">
        <v>39</v>
      </c>
      <c r="C4" s="6" t="s">
        <v>40</v>
      </c>
      <c r="D4" s="6" t="s">
        <v>41</v>
      </c>
      <c r="E4" s="6" t="s">
        <v>122</v>
      </c>
      <c r="F4" s="6" t="s">
        <v>123</v>
      </c>
      <c r="G4" s="6" t="s">
        <v>42</v>
      </c>
      <c r="H4" s="6" t="s">
        <v>43</v>
      </c>
      <c r="I4" s="6" t="s">
        <v>44</v>
      </c>
      <c r="J4" s="6" t="s">
        <v>45</v>
      </c>
      <c r="K4" s="7" t="s">
        <v>46</v>
      </c>
      <c r="L4" s="8" t="s">
        <v>47</v>
      </c>
      <c r="M4" s="6" t="s">
        <v>48</v>
      </c>
      <c r="N4" s="6" t="s">
        <v>49</v>
      </c>
      <c r="O4" s="6" t="s">
        <v>50</v>
      </c>
      <c r="P4" s="6" t="s">
        <v>51</v>
      </c>
      <c r="Q4" s="6" t="s">
        <v>52</v>
      </c>
    </row>
    <row r="5" spans="1:17" s="9" customFormat="1" ht="22.5" customHeight="1">
      <c r="A5" s="66" t="s">
        <v>53</v>
      </c>
      <c r="B5" s="61"/>
      <c r="C5" s="6"/>
      <c r="D5" s="6"/>
      <c r="E5" s="6"/>
      <c r="F5" s="6"/>
      <c r="G5" s="6"/>
      <c r="H5" s="6"/>
      <c r="I5" s="6"/>
      <c r="J5" s="6"/>
      <c r="K5" s="7"/>
      <c r="L5" s="8"/>
      <c r="M5" s="6"/>
      <c r="N5" s="6"/>
      <c r="O5" s="6"/>
      <c r="P5" s="6"/>
      <c r="Q5" s="6"/>
    </row>
    <row r="6" spans="1:17" s="13" customFormat="1" ht="12.75">
      <c r="A6" s="10">
        <v>1</v>
      </c>
      <c r="B6" s="11" t="s">
        <v>54</v>
      </c>
      <c r="C6" s="12">
        <f aca="true" t="shared" si="0" ref="C6:Q6">C7+C8</f>
        <v>129927056</v>
      </c>
      <c r="D6" s="12">
        <f t="shared" si="0"/>
        <v>138078883</v>
      </c>
      <c r="E6" s="12">
        <f t="shared" si="0"/>
        <v>146236298</v>
      </c>
      <c r="F6" s="12">
        <f t="shared" si="0"/>
        <v>179495469</v>
      </c>
      <c r="G6" s="12">
        <f t="shared" si="0"/>
        <v>154940170</v>
      </c>
      <c r="H6" s="12">
        <f t="shared" si="0"/>
        <v>142291937</v>
      </c>
      <c r="I6" s="12">
        <f t="shared" si="0"/>
        <v>147685321</v>
      </c>
      <c r="J6" s="12">
        <f t="shared" si="0"/>
        <v>149432733.84</v>
      </c>
      <c r="K6" s="12">
        <f t="shared" si="0"/>
        <v>154961744.99208</v>
      </c>
      <c r="L6" s="12">
        <f t="shared" si="0"/>
        <v>160385406.0668028</v>
      </c>
      <c r="M6" s="12">
        <f t="shared" si="0"/>
        <v>165838509.8730741</v>
      </c>
      <c r="N6" s="12">
        <f t="shared" si="0"/>
        <v>171311180.69888556</v>
      </c>
      <c r="O6" s="12">
        <f t="shared" si="0"/>
        <v>176793138.4812499</v>
      </c>
      <c r="P6" s="12">
        <f t="shared" si="0"/>
        <v>182273725.77416864</v>
      </c>
      <c r="Q6" s="12">
        <f t="shared" si="0"/>
        <v>187741937.5473937</v>
      </c>
    </row>
    <row r="7" spans="1:17" ht="12.75">
      <c r="A7" s="14" t="s">
        <v>55</v>
      </c>
      <c r="B7" s="15" t="s">
        <v>56</v>
      </c>
      <c r="C7" s="16">
        <v>124203715</v>
      </c>
      <c r="D7" s="16">
        <v>122702875</v>
      </c>
      <c r="E7" s="16">
        <v>126894047</v>
      </c>
      <c r="F7" s="16">
        <v>131666015</v>
      </c>
      <c r="G7" s="17">
        <v>130182937</v>
      </c>
      <c r="H7" s="16">
        <v>138291937</v>
      </c>
      <c r="I7" s="16">
        <v>143685321</v>
      </c>
      <c r="J7" s="16">
        <f>I7*1.04</f>
        <v>149432733.84</v>
      </c>
      <c r="K7" s="16">
        <f>J7*1.037</f>
        <v>154961744.99208</v>
      </c>
      <c r="L7" s="16">
        <f>K7*1.035</f>
        <v>160385406.0668028</v>
      </c>
      <c r="M7" s="16">
        <f>L7*1.034</f>
        <v>165838509.8730741</v>
      </c>
      <c r="N7" s="16">
        <f>M7*1.033</f>
        <v>171311180.69888556</v>
      </c>
      <c r="O7" s="16">
        <f>N7*1.032</f>
        <v>176793138.4812499</v>
      </c>
      <c r="P7" s="16">
        <f>O7*1.031</f>
        <v>182273725.77416864</v>
      </c>
      <c r="Q7" s="16">
        <f>P7*1.03</f>
        <v>187741937.5473937</v>
      </c>
    </row>
    <row r="8" spans="1:17" ht="12.75">
      <c r="A8" s="14" t="s">
        <v>57</v>
      </c>
      <c r="B8" s="15" t="s">
        <v>58</v>
      </c>
      <c r="C8" s="16">
        <v>5723341</v>
      </c>
      <c r="D8" s="16">
        <v>15376008</v>
      </c>
      <c r="E8" s="16">
        <v>19342251</v>
      </c>
      <c r="F8" s="16">
        <v>47829454</v>
      </c>
      <c r="G8" s="19">
        <v>24757233</v>
      </c>
      <c r="H8" s="19">
        <v>4000000</v>
      </c>
      <c r="I8" s="16">
        <v>4000000</v>
      </c>
      <c r="J8" s="16"/>
      <c r="K8" s="16"/>
      <c r="L8" s="16"/>
      <c r="M8" s="16"/>
      <c r="N8" s="16"/>
      <c r="O8" s="16"/>
      <c r="P8" s="16"/>
      <c r="Q8" s="16"/>
    </row>
    <row r="9" spans="1:17" ht="12.75">
      <c r="A9" s="14" t="s">
        <v>59</v>
      </c>
      <c r="B9" s="15" t="s">
        <v>60</v>
      </c>
      <c r="C9" s="16">
        <v>644322</v>
      </c>
      <c r="D9" s="16">
        <v>1327622</v>
      </c>
      <c r="E9" s="16">
        <v>4963541</v>
      </c>
      <c r="F9" s="16">
        <v>4478759</v>
      </c>
      <c r="G9" s="16">
        <v>2458060</v>
      </c>
      <c r="H9" s="16">
        <v>4000000</v>
      </c>
      <c r="I9" s="16">
        <v>4000000</v>
      </c>
      <c r="J9" s="16"/>
      <c r="K9" s="16"/>
      <c r="L9" s="16"/>
      <c r="M9" s="16"/>
      <c r="N9" s="16"/>
      <c r="O9" s="16"/>
      <c r="P9" s="16"/>
      <c r="Q9" s="16"/>
    </row>
    <row r="10" spans="1:17" s="13" customFormat="1" ht="51">
      <c r="A10" s="10">
        <v>2</v>
      </c>
      <c r="B10" s="11" t="s">
        <v>61</v>
      </c>
      <c r="C10" s="12">
        <f>104122000-1</f>
        <v>104121999</v>
      </c>
      <c r="D10" s="12">
        <f>115390087-1</f>
        <v>115390086</v>
      </c>
      <c r="E10" s="12">
        <v>126415257</v>
      </c>
      <c r="F10" s="12">
        <v>130489326</v>
      </c>
      <c r="G10" s="12">
        <v>124890847</v>
      </c>
      <c r="H10" s="12">
        <f>G10*1.025</f>
        <v>128013118.17499998</v>
      </c>
      <c r="I10" s="12">
        <f>H10*1.025</f>
        <v>131213446.12937497</v>
      </c>
      <c r="J10" s="12">
        <f>I10*1.025</f>
        <v>134493782.2826093</v>
      </c>
      <c r="K10" s="12">
        <f>J10*1.025</f>
        <v>137856126.83967453</v>
      </c>
      <c r="L10" s="12">
        <f>K10*1.025</f>
        <v>141302530.01066637</v>
      </c>
      <c r="M10" s="12">
        <f>L10*1.024</f>
        <v>144693790.73092237</v>
      </c>
      <c r="N10" s="12">
        <f>M10*1.024</f>
        <v>148166441.7084645</v>
      </c>
      <c r="O10" s="12">
        <f>N10*1.024</f>
        <v>151722436.30946764</v>
      </c>
      <c r="P10" s="12">
        <f>O10*1.024</f>
        <v>155363774.78089488</v>
      </c>
      <c r="Q10" s="12">
        <f>P10*1.024</f>
        <v>159092505.37563637</v>
      </c>
    </row>
    <row r="11" spans="1:17" ht="25.5">
      <c r="A11" s="14" t="s">
        <v>62</v>
      </c>
      <c r="B11" s="15" t="s">
        <v>63</v>
      </c>
      <c r="C11" s="19">
        <v>56403262</v>
      </c>
      <c r="D11" s="19">
        <v>62155974</v>
      </c>
      <c r="E11" s="16">
        <v>66294489</v>
      </c>
      <c r="F11" s="16">
        <v>68462278</v>
      </c>
      <c r="G11" s="16">
        <v>69840824</v>
      </c>
      <c r="H11" s="16">
        <f aca="true" t="shared" si="1" ref="H11:Q11">+G11*1.03</f>
        <v>71936048.72</v>
      </c>
      <c r="I11" s="16">
        <f t="shared" si="1"/>
        <v>74094130.1816</v>
      </c>
      <c r="J11" s="16">
        <f t="shared" si="1"/>
        <v>76316954.08704801</v>
      </c>
      <c r="K11" s="16">
        <f t="shared" si="1"/>
        <v>78606462.70965946</v>
      </c>
      <c r="L11" s="16">
        <f t="shared" si="1"/>
        <v>80964656.59094924</v>
      </c>
      <c r="M11" s="16">
        <f t="shared" si="1"/>
        <v>83393596.28867772</v>
      </c>
      <c r="N11" s="16">
        <f t="shared" si="1"/>
        <v>85895404.17733805</v>
      </c>
      <c r="O11" s="16">
        <f t="shared" si="1"/>
        <v>88472266.30265819</v>
      </c>
      <c r="P11" s="16">
        <f t="shared" si="1"/>
        <v>91126434.29173793</v>
      </c>
      <c r="Q11" s="16">
        <f t="shared" si="1"/>
        <v>93860227.32049006</v>
      </c>
    </row>
    <row r="12" spans="1:17" ht="12.75">
      <c r="A12" s="14" t="s">
        <v>64</v>
      </c>
      <c r="B12" s="15" t="s">
        <v>65</v>
      </c>
      <c r="C12" s="19">
        <v>8569307</v>
      </c>
      <c r="D12" s="19">
        <v>8593601</v>
      </c>
      <c r="E12" s="16">
        <v>9228070</v>
      </c>
      <c r="F12" s="16">
        <v>9523529</v>
      </c>
      <c r="G12" s="16">
        <v>9629704</v>
      </c>
      <c r="H12" s="16">
        <f>+G12*1.025</f>
        <v>9870446.6</v>
      </c>
      <c r="I12" s="16">
        <f>+H12*1.025</f>
        <v>10117207.764999999</v>
      </c>
      <c r="J12" s="16">
        <f>+I12*1.025</f>
        <v>10370137.959124997</v>
      </c>
      <c r="K12" s="16">
        <f>+J12*1.025</f>
        <v>10629391.408103121</v>
      </c>
      <c r="L12" s="16">
        <f>+K12*1.025</f>
        <v>10895126.1933057</v>
      </c>
      <c r="M12" s="16">
        <f>+L12*1.025</f>
        <v>11167504.34813834</v>
      </c>
      <c r="N12" s="16">
        <f>+M12*1.024</f>
        <v>11435524.45249366</v>
      </c>
      <c r="O12" s="16">
        <f>+N12*1.024</f>
        <v>11709977.039353509</v>
      </c>
      <c r="P12" s="16">
        <f>+O12*1.024</f>
        <v>11991016.488297993</v>
      </c>
      <c r="Q12" s="16">
        <f>+P12*1.024</f>
        <v>12278800.884017145</v>
      </c>
    </row>
    <row r="13" spans="1:17" ht="12.75">
      <c r="A13" s="14" t="s">
        <v>66</v>
      </c>
      <c r="B13" s="15" t="s">
        <v>67</v>
      </c>
      <c r="C13" s="16">
        <v>0</v>
      </c>
      <c r="D13" s="16">
        <v>0</v>
      </c>
      <c r="E13" s="16">
        <v>0</v>
      </c>
      <c r="F13" s="16">
        <v>417759</v>
      </c>
      <c r="G13" s="16">
        <v>666400</v>
      </c>
      <c r="H13" s="16">
        <v>658499</v>
      </c>
      <c r="I13" s="16">
        <v>650598</v>
      </c>
      <c r="J13" s="16">
        <v>541396</v>
      </c>
      <c r="K13" s="16">
        <v>636112</v>
      </c>
      <c r="L13" s="16">
        <v>628211</v>
      </c>
      <c r="M13" s="16">
        <v>620310</v>
      </c>
      <c r="N13" s="16">
        <v>358955</v>
      </c>
      <c r="O13" s="16">
        <v>0</v>
      </c>
      <c r="P13" s="16">
        <v>0</v>
      </c>
      <c r="Q13" s="16">
        <v>0</v>
      </c>
    </row>
    <row r="14" spans="1:17" ht="38.25">
      <c r="A14" s="14" t="s">
        <v>68</v>
      </c>
      <c r="B14" s="15" t="s">
        <v>69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/>
    </row>
    <row r="15" spans="1:17" ht="25.5">
      <c r="A15" s="14" t="s">
        <v>70</v>
      </c>
      <c r="B15" s="2" t="s">
        <v>71</v>
      </c>
      <c r="C15" s="16">
        <v>0</v>
      </c>
      <c r="D15" s="16">
        <v>0</v>
      </c>
      <c r="E15" s="16">
        <v>0</v>
      </c>
      <c r="F15" s="16">
        <v>3473329</v>
      </c>
      <c r="G15" s="19">
        <v>2701554</v>
      </c>
      <c r="H15" s="19">
        <v>2361162</v>
      </c>
      <c r="I15" s="19">
        <v>1225454</v>
      </c>
      <c r="J15" s="19">
        <f>541396+42000</f>
        <v>583396</v>
      </c>
      <c r="K15" s="19">
        <v>636112</v>
      </c>
      <c r="L15" s="19">
        <v>628211</v>
      </c>
      <c r="M15" s="19">
        <v>620310</v>
      </c>
      <c r="N15" s="19">
        <v>358955</v>
      </c>
      <c r="O15" s="19">
        <v>0</v>
      </c>
      <c r="P15" s="19">
        <v>0</v>
      </c>
      <c r="Q15" s="19">
        <v>0</v>
      </c>
    </row>
    <row r="16" spans="1:17" ht="12.75">
      <c r="A16" s="14">
        <v>3</v>
      </c>
      <c r="B16" s="15" t="s">
        <v>72</v>
      </c>
      <c r="C16" s="16">
        <f aca="true" t="shared" si="2" ref="C16:Q16">C6-C10</f>
        <v>25805057</v>
      </c>
      <c r="D16" s="16">
        <f t="shared" si="2"/>
        <v>22688797</v>
      </c>
      <c r="E16" s="16">
        <f t="shared" si="2"/>
        <v>19821041</v>
      </c>
      <c r="F16" s="16">
        <f t="shared" si="2"/>
        <v>49006143</v>
      </c>
      <c r="G16" s="16">
        <f t="shared" si="2"/>
        <v>30049323</v>
      </c>
      <c r="H16" s="16">
        <f t="shared" si="2"/>
        <v>14278818.825000018</v>
      </c>
      <c r="I16" s="16">
        <f t="shared" si="2"/>
        <v>16471874.870625034</v>
      </c>
      <c r="J16" s="16">
        <f t="shared" si="2"/>
        <v>14938951.55739069</v>
      </c>
      <c r="K16" s="16">
        <f t="shared" si="2"/>
        <v>17105618.15240547</v>
      </c>
      <c r="L16" s="16">
        <f t="shared" si="2"/>
        <v>19082876.05613643</v>
      </c>
      <c r="M16" s="16">
        <f t="shared" si="2"/>
        <v>21144719.142151743</v>
      </c>
      <c r="N16" s="16">
        <f t="shared" si="2"/>
        <v>23144738.990421057</v>
      </c>
      <c r="O16" s="16">
        <f t="shared" si="2"/>
        <v>25070702.171782255</v>
      </c>
      <c r="P16" s="16">
        <f t="shared" si="2"/>
        <v>26909950.993273765</v>
      </c>
      <c r="Q16" s="16">
        <f t="shared" si="2"/>
        <v>28649432.17175734</v>
      </c>
    </row>
    <row r="17" spans="1:17" ht="38.25">
      <c r="A17" s="20">
        <v>4</v>
      </c>
      <c r="B17" s="15" t="s">
        <v>73</v>
      </c>
      <c r="C17" s="19">
        <v>0</v>
      </c>
      <c r="D17" s="19">
        <v>4152945</v>
      </c>
      <c r="E17" s="19">
        <v>1755236</v>
      </c>
      <c r="F17" s="19">
        <v>683857</v>
      </c>
      <c r="G17" s="19">
        <v>0</v>
      </c>
      <c r="H17" s="19">
        <f aca="true" t="shared" si="3" ref="H17:O17">G29</f>
        <v>0</v>
      </c>
      <c r="I17" s="19">
        <f t="shared" si="3"/>
        <v>-0.17499998211860657</v>
      </c>
      <c r="J17" s="19">
        <f t="shared" si="3"/>
        <v>-0.30437494814395905</v>
      </c>
      <c r="K17" s="19">
        <f t="shared" si="3"/>
        <v>0.25301574170589447</v>
      </c>
      <c r="L17" s="19">
        <f t="shared" si="3"/>
        <v>0.4054212123155594</v>
      </c>
      <c r="M17" s="19">
        <f t="shared" si="3"/>
        <v>0.46155764162540436</v>
      </c>
      <c r="N17" s="19">
        <f t="shared" si="3"/>
        <v>-0.3962906152009964</v>
      </c>
      <c r="O17" s="19">
        <f t="shared" si="3"/>
        <v>-0.4058695584535599</v>
      </c>
      <c r="P17" s="19">
        <f>N29</f>
        <v>-0.4058695584535599</v>
      </c>
      <c r="Q17" s="19">
        <f>O29</f>
        <v>-0.23408730328083038</v>
      </c>
    </row>
    <row r="18" spans="1:17" ht="51">
      <c r="A18" s="20" t="s">
        <v>74</v>
      </c>
      <c r="B18" s="15" t="s">
        <v>75</v>
      </c>
      <c r="C18" s="19">
        <v>0</v>
      </c>
      <c r="D18" s="19">
        <v>4152945</v>
      </c>
      <c r="E18" s="19">
        <v>1755236</v>
      </c>
      <c r="F18" s="19">
        <v>683857</v>
      </c>
      <c r="G18" s="19"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25.5">
      <c r="A19" s="20">
        <v>5</v>
      </c>
      <c r="B19" s="15" t="s">
        <v>76</v>
      </c>
      <c r="C19" s="19">
        <v>0</v>
      </c>
      <c r="D19" s="19">
        <v>2100000</v>
      </c>
      <c r="E19" s="19">
        <v>2100000</v>
      </c>
      <c r="F19" s="19">
        <v>2000000</v>
      </c>
      <c r="G19" s="19">
        <v>2000000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</row>
    <row r="20" spans="1:17" ht="12.75">
      <c r="A20" s="14">
        <v>6</v>
      </c>
      <c r="B20" s="15" t="s">
        <v>77</v>
      </c>
      <c r="C20" s="16">
        <f aca="true" t="shared" si="4" ref="C20:Q20">C16+C17+C19</f>
        <v>25805057</v>
      </c>
      <c r="D20" s="16">
        <f t="shared" si="4"/>
        <v>28941742</v>
      </c>
      <c r="E20" s="16">
        <f t="shared" si="4"/>
        <v>23676277</v>
      </c>
      <c r="F20" s="16">
        <f t="shared" si="4"/>
        <v>51690000</v>
      </c>
      <c r="G20" s="16">
        <f t="shared" si="4"/>
        <v>32049323</v>
      </c>
      <c r="H20" s="16">
        <f t="shared" si="4"/>
        <v>14278818.825000018</v>
      </c>
      <c r="I20" s="16">
        <f t="shared" si="4"/>
        <v>16471874.695625052</v>
      </c>
      <c r="J20" s="16">
        <f>J16+J17+J19+1</f>
        <v>14938952.253015742</v>
      </c>
      <c r="K20" s="16">
        <f t="shared" si="4"/>
        <v>17105618.405421212</v>
      </c>
      <c r="L20" s="16">
        <f t="shared" si="4"/>
        <v>19082876.46155764</v>
      </c>
      <c r="M20" s="16">
        <f>M16+M17+M19-1</f>
        <v>21144718.603709385</v>
      </c>
      <c r="N20" s="16">
        <f t="shared" si="4"/>
        <v>23144738.59413044</v>
      </c>
      <c r="O20" s="16">
        <f t="shared" si="4"/>
        <v>25070701.765912697</v>
      </c>
      <c r="P20" s="16">
        <f t="shared" si="4"/>
        <v>26909950.587404206</v>
      </c>
      <c r="Q20" s="16">
        <f t="shared" si="4"/>
        <v>28649431.937670037</v>
      </c>
    </row>
    <row r="21" spans="1:17" s="13" customFormat="1" ht="12.75">
      <c r="A21" s="22">
        <v>7</v>
      </c>
      <c r="B21" s="11" t="s">
        <v>78</v>
      </c>
      <c r="C21" s="12">
        <f aca="true" t="shared" si="5" ref="C21:Q21">SUM(C22:C23)</f>
        <v>4175906</v>
      </c>
      <c r="D21" s="12">
        <f t="shared" si="5"/>
        <v>3855630</v>
      </c>
      <c r="E21" s="12">
        <f t="shared" si="5"/>
        <v>5072953</v>
      </c>
      <c r="F21" s="12">
        <f t="shared" si="5"/>
        <v>25254732</v>
      </c>
      <c r="G21" s="12">
        <f t="shared" si="5"/>
        <v>15832122</v>
      </c>
      <c r="H21" s="12">
        <f t="shared" si="5"/>
        <v>7547343</v>
      </c>
      <c r="I21" s="12">
        <f t="shared" si="5"/>
        <v>6089557</v>
      </c>
      <c r="J21" s="12">
        <f t="shared" si="5"/>
        <v>6840454</v>
      </c>
      <c r="K21" s="12">
        <f t="shared" si="5"/>
        <v>6540647</v>
      </c>
      <c r="L21" s="12">
        <f t="shared" si="5"/>
        <v>6266700</v>
      </c>
      <c r="M21" s="12">
        <f t="shared" si="5"/>
        <v>5704805</v>
      </c>
      <c r="N21" s="12">
        <f t="shared" si="5"/>
        <v>5116784</v>
      </c>
      <c r="O21" s="12">
        <f t="shared" si="5"/>
        <v>3876070</v>
      </c>
      <c r="P21" s="12">
        <f t="shared" si="5"/>
        <v>3488082</v>
      </c>
      <c r="Q21" s="12">
        <f t="shared" si="5"/>
        <v>2831340</v>
      </c>
    </row>
    <row r="22" spans="1:20" s="26" customFormat="1" ht="38.25">
      <c r="A22" s="23" t="s">
        <v>79</v>
      </c>
      <c r="B22" s="24" t="s">
        <v>80</v>
      </c>
      <c r="C22" s="25">
        <v>3256004</v>
      </c>
      <c r="D22" s="25">
        <v>3238649</v>
      </c>
      <c r="E22" s="25">
        <v>3880159</v>
      </c>
      <c r="F22" s="25">
        <v>23326218</v>
      </c>
      <c r="G22" s="25">
        <v>13710515</v>
      </c>
      <c r="H22" s="25">
        <v>5153164</v>
      </c>
      <c r="I22" s="25">
        <v>4133194</v>
      </c>
      <c r="J22" s="25">
        <v>5102729</v>
      </c>
      <c r="K22" s="25">
        <v>5077673</v>
      </c>
      <c r="L22" s="25">
        <v>5077671</v>
      </c>
      <c r="M22" s="25">
        <v>4783564</v>
      </c>
      <c r="N22" s="25">
        <v>4455715</v>
      </c>
      <c r="O22" s="25">
        <v>3419440</v>
      </c>
      <c r="P22" s="25">
        <v>3186088</v>
      </c>
      <c r="Q22" s="25">
        <v>2696711</v>
      </c>
      <c r="T22" s="27">
        <f>SUM(G22:Q22)</f>
        <v>56796464</v>
      </c>
    </row>
    <row r="23" spans="1:17" s="26" customFormat="1" ht="12.75">
      <c r="A23" s="23" t="s">
        <v>81</v>
      </c>
      <c r="B23" s="24" t="s">
        <v>82</v>
      </c>
      <c r="C23" s="25">
        <v>919902</v>
      </c>
      <c r="D23" s="25">
        <v>616981</v>
      </c>
      <c r="E23" s="25">
        <v>1192794</v>
      </c>
      <c r="F23" s="25">
        <v>1928514</v>
      </c>
      <c r="G23" s="25">
        <v>2121607</v>
      </c>
      <c r="H23" s="25">
        <v>2394179</v>
      </c>
      <c r="I23" s="25">
        <v>1956363</v>
      </c>
      <c r="J23" s="25">
        <v>1737725</v>
      </c>
      <c r="K23" s="25">
        <v>1462974</v>
      </c>
      <c r="L23" s="25">
        <v>1189029</v>
      </c>
      <c r="M23" s="25">
        <v>921241</v>
      </c>
      <c r="N23" s="25">
        <v>661069</v>
      </c>
      <c r="O23" s="25">
        <v>456630</v>
      </c>
      <c r="P23" s="25">
        <v>301994</v>
      </c>
      <c r="Q23" s="25">
        <v>134629</v>
      </c>
    </row>
    <row r="24" spans="1:17" ht="25.5">
      <c r="A24" s="14">
        <v>8</v>
      </c>
      <c r="B24" s="15" t="s">
        <v>83</v>
      </c>
      <c r="C24" s="16">
        <v>634705</v>
      </c>
      <c r="D24" s="16">
        <v>2100000</v>
      </c>
      <c r="E24" s="16">
        <v>3900000</v>
      </c>
      <c r="F24" s="16">
        <v>200000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/>
    </row>
    <row r="25" spans="1:17" ht="12.75">
      <c r="A25" s="14">
        <v>9</v>
      </c>
      <c r="B25" s="15" t="s">
        <v>84</v>
      </c>
      <c r="C25" s="16">
        <f aca="true" t="shared" si="6" ref="C25:Q25">C20-C21-C24</f>
        <v>20994446</v>
      </c>
      <c r="D25" s="16">
        <f t="shared" si="6"/>
        <v>22986112</v>
      </c>
      <c r="E25" s="16">
        <f t="shared" si="6"/>
        <v>14703324</v>
      </c>
      <c r="F25" s="16">
        <f t="shared" si="6"/>
        <v>26235268</v>
      </c>
      <c r="G25" s="16">
        <f t="shared" si="6"/>
        <v>16217201</v>
      </c>
      <c r="H25" s="16">
        <f t="shared" si="6"/>
        <v>6731475.825000018</v>
      </c>
      <c r="I25" s="16">
        <f t="shared" si="6"/>
        <v>10382317.695625052</v>
      </c>
      <c r="J25" s="16">
        <f t="shared" si="6"/>
        <v>8098498.253015742</v>
      </c>
      <c r="K25" s="16">
        <f t="shared" si="6"/>
        <v>10564971.405421212</v>
      </c>
      <c r="L25" s="16">
        <f t="shared" si="6"/>
        <v>12816176.461557642</v>
      </c>
      <c r="M25" s="16">
        <f t="shared" si="6"/>
        <v>15439913.603709385</v>
      </c>
      <c r="N25" s="16">
        <f t="shared" si="6"/>
        <v>18027954.59413044</v>
      </c>
      <c r="O25" s="16">
        <f t="shared" si="6"/>
        <v>21194631.765912697</v>
      </c>
      <c r="P25" s="16">
        <f t="shared" si="6"/>
        <v>23421868.587404206</v>
      </c>
      <c r="Q25" s="16">
        <f t="shared" si="6"/>
        <v>25818091.937670037</v>
      </c>
    </row>
    <row r="26" spans="1:20" s="13" customFormat="1" ht="12.75">
      <c r="A26" s="10">
        <v>10</v>
      </c>
      <c r="B26" s="11" t="s">
        <v>85</v>
      </c>
      <c r="C26" s="12">
        <f>C27</f>
        <v>16841501</v>
      </c>
      <c r="D26" s="12">
        <f>D27</f>
        <v>28295151</v>
      </c>
      <c r="E26" s="12">
        <v>45079467</v>
      </c>
      <c r="F26" s="12">
        <v>42333191</v>
      </c>
      <c r="G26" s="28">
        <v>30413912</v>
      </c>
      <c r="H26" s="28">
        <v>6731476</v>
      </c>
      <c r="I26" s="12">
        <v>10382318</v>
      </c>
      <c r="J26" s="12">
        <v>8098498</v>
      </c>
      <c r="K26" s="12">
        <v>10564971</v>
      </c>
      <c r="L26" s="12">
        <v>12816176</v>
      </c>
      <c r="M26" s="12">
        <v>15439914</v>
      </c>
      <c r="N26" s="12">
        <v>18027955</v>
      </c>
      <c r="O26" s="12">
        <v>21194632</v>
      </c>
      <c r="P26" s="12">
        <v>23421869</v>
      </c>
      <c r="Q26" s="12">
        <v>25818092</v>
      </c>
      <c r="T26" s="29" t="e">
        <f>#REF!+G28</f>
        <v>#REF!</v>
      </c>
    </row>
    <row r="27" spans="1:17" ht="38.25">
      <c r="A27" s="14" t="s">
        <v>86</v>
      </c>
      <c r="B27" s="2" t="s">
        <v>87</v>
      </c>
      <c r="C27" s="16">
        <v>16841501</v>
      </c>
      <c r="D27" s="16">
        <v>28295151</v>
      </c>
      <c r="E27" s="16">
        <v>45079467</v>
      </c>
      <c r="F27" s="16">
        <v>9896440</v>
      </c>
      <c r="G27" s="19">
        <v>3972701</v>
      </c>
      <c r="H27" s="19">
        <v>4212701</v>
      </c>
      <c r="I27" s="19"/>
      <c r="J27" s="19"/>
      <c r="K27" s="19"/>
      <c r="L27" s="19"/>
      <c r="M27" s="19"/>
      <c r="N27" s="19"/>
      <c r="O27" s="19"/>
      <c r="P27" s="19"/>
      <c r="Q27" s="19"/>
    </row>
    <row r="28" spans="1:17" s="13" customFormat="1" ht="25.5">
      <c r="A28" s="22">
        <v>11</v>
      </c>
      <c r="B28" s="11" t="s">
        <v>88</v>
      </c>
      <c r="C28" s="12">
        <v>0</v>
      </c>
      <c r="D28" s="12">
        <v>7064275</v>
      </c>
      <c r="E28" s="12">
        <v>31060000</v>
      </c>
      <c r="F28" s="12">
        <v>16097923</v>
      </c>
      <c r="G28" s="12">
        <v>14196711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4">
        <v>12</v>
      </c>
      <c r="B29" s="15" t="s">
        <v>89</v>
      </c>
      <c r="C29" s="16">
        <f aca="true" t="shared" si="7" ref="C29:Q29">C25-C26+C28</f>
        <v>4152945</v>
      </c>
      <c r="D29" s="16">
        <f t="shared" si="7"/>
        <v>1755236</v>
      </c>
      <c r="E29" s="16">
        <f t="shared" si="7"/>
        <v>683857</v>
      </c>
      <c r="F29" s="16">
        <f t="shared" si="7"/>
        <v>0</v>
      </c>
      <c r="G29" s="16">
        <f t="shared" si="7"/>
        <v>0</v>
      </c>
      <c r="H29" s="19">
        <f t="shared" si="7"/>
        <v>-0.17499998211860657</v>
      </c>
      <c r="I29" s="19">
        <f t="shared" si="7"/>
        <v>-0.30437494814395905</v>
      </c>
      <c r="J29" s="16">
        <f t="shared" si="7"/>
        <v>0.25301574170589447</v>
      </c>
      <c r="K29" s="16">
        <f t="shared" si="7"/>
        <v>0.4054212123155594</v>
      </c>
      <c r="L29" s="16">
        <f t="shared" si="7"/>
        <v>0.46155764162540436</v>
      </c>
      <c r="M29" s="16">
        <f t="shared" si="7"/>
        <v>-0.3962906152009964</v>
      </c>
      <c r="N29" s="16">
        <f t="shared" si="7"/>
        <v>-0.4058695584535599</v>
      </c>
      <c r="O29" s="16">
        <f t="shared" si="7"/>
        <v>-0.23408730328083038</v>
      </c>
      <c r="P29" s="16">
        <f t="shared" si="7"/>
        <v>-0.41259579360485077</v>
      </c>
      <c r="Q29" s="16">
        <f t="shared" si="7"/>
        <v>-0.062329962849617004</v>
      </c>
    </row>
    <row r="30" spans="1:17" ht="23.25" customHeight="1">
      <c r="A30" s="30"/>
      <c r="B30" s="31"/>
      <c r="C30" s="32"/>
      <c r="D30" s="32"/>
      <c r="E30" s="32"/>
      <c r="F30" s="32"/>
      <c r="G30" s="33"/>
      <c r="H30" s="33"/>
      <c r="I30" s="33"/>
      <c r="J30" s="32"/>
      <c r="K30" s="32"/>
      <c r="L30" s="32"/>
      <c r="M30" s="32"/>
      <c r="N30" s="32"/>
      <c r="O30" s="32"/>
      <c r="P30" s="34"/>
      <c r="Q30" s="34"/>
    </row>
    <row r="31" spans="1:17" ht="23.25" customHeight="1">
      <c r="A31" s="64" t="s">
        <v>90</v>
      </c>
      <c r="B31" s="65"/>
      <c r="C31" s="16"/>
      <c r="D31" s="16"/>
      <c r="E31" s="16"/>
      <c r="F31" s="16"/>
      <c r="G31" s="19"/>
      <c r="H31" s="19"/>
      <c r="I31" s="19"/>
      <c r="J31" s="16"/>
      <c r="K31" s="16"/>
      <c r="L31" s="16"/>
      <c r="M31" s="16"/>
      <c r="N31" s="16"/>
      <c r="O31" s="16"/>
      <c r="P31" s="16"/>
      <c r="Q31" s="16"/>
    </row>
    <row r="32" spans="1:17" s="26" customFormat="1" ht="12.75">
      <c r="A32" s="23">
        <v>13</v>
      </c>
      <c r="B32" s="24" t="s">
        <v>91</v>
      </c>
      <c r="C32" s="25">
        <v>13522494</v>
      </c>
      <c r="D32" s="25">
        <f>+C32+D28-D22</f>
        <v>17348120</v>
      </c>
      <c r="E32" s="25">
        <v>44420097</v>
      </c>
      <c r="F32" s="35">
        <v>42599753</v>
      </c>
      <c r="G32" s="35">
        <f>F32+G28-G22</f>
        <v>43085949</v>
      </c>
      <c r="H32" s="35">
        <f aca="true" t="shared" si="8" ref="H32:Q32">G32+H28-H22</f>
        <v>37932785</v>
      </c>
      <c r="I32" s="35">
        <f t="shared" si="8"/>
        <v>33799591</v>
      </c>
      <c r="J32" s="35">
        <f t="shared" si="8"/>
        <v>28696862</v>
      </c>
      <c r="K32" s="35">
        <f t="shared" si="8"/>
        <v>23619189</v>
      </c>
      <c r="L32" s="35">
        <f t="shared" si="8"/>
        <v>18541518</v>
      </c>
      <c r="M32" s="35">
        <f t="shared" si="8"/>
        <v>13757954</v>
      </c>
      <c r="N32" s="35">
        <f t="shared" si="8"/>
        <v>9302239</v>
      </c>
      <c r="O32" s="35">
        <f t="shared" si="8"/>
        <v>5882799</v>
      </c>
      <c r="P32" s="35">
        <f t="shared" si="8"/>
        <v>2696711</v>
      </c>
      <c r="Q32" s="35">
        <f t="shared" si="8"/>
        <v>0</v>
      </c>
    </row>
    <row r="33" spans="1:17" ht="27" customHeight="1">
      <c r="A33" s="14" t="s">
        <v>92</v>
      </c>
      <c r="B33" s="15" t="s">
        <v>93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8.25">
      <c r="A34" s="14" t="s">
        <v>94</v>
      </c>
      <c r="B34" s="15" t="s">
        <v>95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24.75" customHeight="1">
      <c r="A35" s="14">
        <v>14</v>
      </c>
      <c r="B35" s="15" t="s">
        <v>96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7" ht="25.5">
      <c r="A36" s="14">
        <v>15</v>
      </c>
      <c r="B36" s="15" t="s">
        <v>97</v>
      </c>
      <c r="C36" s="60">
        <f aca="true" t="shared" si="9" ref="C36:Q36">(C22+C23+C13-C33)/C6</f>
        <v>0.03214038806513095</v>
      </c>
      <c r="D36" s="60">
        <f t="shared" si="9"/>
        <v>0.027923386373280554</v>
      </c>
      <c r="E36" s="60">
        <f t="shared" si="9"/>
        <v>0.034690108197350564</v>
      </c>
      <c r="F36" s="60">
        <f t="shared" si="9"/>
        <v>0.14302584429025336</v>
      </c>
      <c r="G36" s="60">
        <f t="shared" si="9"/>
        <v>0.10648317992680659</v>
      </c>
      <c r="H36" s="60">
        <f t="shared" si="9"/>
        <v>0.05766905822639831</v>
      </c>
      <c r="I36" s="60">
        <f t="shared" si="9"/>
        <v>0.04563862511427253</v>
      </c>
      <c r="J36" s="60">
        <f t="shared" si="9"/>
        <v>0.04939914977332787</v>
      </c>
      <c r="K36" s="60">
        <f t="shared" si="9"/>
        <v>0.04631310134231387</v>
      </c>
      <c r="L36" s="60">
        <f t="shared" si="9"/>
        <v>0.04298964082260808</v>
      </c>
      <c r="M36" s="60">
        <f t="shared" si="9"/>
        <v>0.038140206426366105</v>
      </c>
      <c r="N36" s="60">
        <f t="shared" si="9"/>
        <v>0.03196369891130884</v>
      </c>
      <c r="O36" s="60">
        <f t="shared" si="9"/>
        <v>0.021924323722614852</v>
      </c>
      <c r="P36" s="60">
        <f t="shared" si="9"/>
        <v>0.01913650464533557</v>
      </c>
      <c r="Q36" s="60">
        <f t="shared" si="9"/>
        <v>0.015081020452797099</v>
      </c>
    </row>
    <row r="37" spans="1:17" s="41" customFormat="1" ht="38.25" hidden="1">
      <c r="A37" s="37"/>
      <c r="B37" s="38" t="s">
        <v>98</v>
      </c>
      <c r="C37" s="39">
        <f>+(C22+C23-C33+C13)/C6</f>
        <v>0.03214038806513095</v>
      </c>
      <c r="D37" s="39">
        <f>+(D22+D23-D33+D13)/D6</f>
        <v>0.027923386373280554</v>
      </c>
      <c r="E37" s="39">
        <f>+(E22+E23-E33+E13)/E6</f>
        <v>0.034690108197350564</v>
      </c>
      <c r="F37" s="39">
        <f>+(F22+F23-F33+F13)/F6</f>
        <v>0.14302584429025336</v>
      </c>
      <c r="G37" s="39">
        <f aca="true" t="shared" si="10" ref="G37:Q37">+(G22+G23-G34)/G6</f>
        <v>0.10218216489629513</v>
      </c>
      <c r="H37" s="39">
        <f t="shared" si="10"/>
        <v>0.053041255598340754</v>
      </c>
      <c r="I37" s="39">
        <f t="shared" si="10"/>
        <v>0.04123332609339015</v>
      </c>
      <c r="J37" s="39">
        <f t="shared" si="10"/>
        <v>0.045776141707506886</v>
      </c>
      <c r="K37" s="40">
        <f t="shared" si="10"/>
        <v>0.04220813982402101</v>
      </c>
      <c r="L37" s="39">
        <f t="shared" si="10"/>
        <v>0.039072757014998176</v>
      </c>
      <c r="M37" s="39">
        <f t="shared" si="10"/>
        <v>0.03439976037149767</v>
      </c>
      <c r="N37" s="39">
        <f t="shared" si="10"/>
        <v>0.029868359899951857</v>
      </c>
      <c r="O37" s="39">
        <f t="shared" si="10"/>
        <v>0.021924323722614852</v>
      </c>
      <c r="P37" s="39">
        <f t="shared" si="10"/>
        <v>0.01913650464533557</v>
      </c>
      <c r="Q37" s="39">
        <f t="shared" si="10"/>
        <v>0.015081020452797099</v>
      </c>
    </row>
    <row r="38" spans="1:17" s="41" customFormat="1" ht="38.25" hidden="1">
      <c r="A38" s="37"/>
      <c r="B38" s="38" t="s">
        <v>99</v>
      </c>
      <c r="C38" s="39">
        <f aca="true" t="shared" si="11" ref="C38:Q38">+(C7+C9-C46)/C6</f>
        <v>0.15244042780435202</v>
      </c>
      <c r="D38" s="39">
        <f t="shared" si="11"/>
        <v>0.058107581881293176</v>
      </c>
      <c r="E38" s="39">
        <f t="shared" si="11"/>
        <v>0.029059385789429654</v>
      </c>
      <c r="F38" s="39">
        <f t="shared" si="11"/>
        <v>0.020763387626235846</v>
      </c>
      <c r="G38" s="39">
        <f t="shared" si="11"/>
        <v>0.03632720294549825</v>
      </c>
      <c r="H38" s="39">
        <f t="shared" si="11"/>
        <v>0.08352293232890644</v>
      </c>
      <c r="I38" s="39">
        <f t="shared" si="11"/>
        <v>0.09828676115092734</v>
      </c>
      <c r="J38" s="39">
        <f t="shared" si="11"/>
        <v>0.0883422675752252</v>
      </c>
      <c r="K38" s="40">
        <f t="shared" si="11"/>
        <v>0.10094519878570647</v>
      </c>
      <c r="L38" s="39">
        <f t="shared" si="11"/>
        <v>0.11156780092998853</v>
      </c>
      <c r="M38" s="39">
        <f t="shared" si="11"/>
        <v>0.12194681535446714</v>
      </c>
      <c r="N38" s="39">
        <f t="shared" si="11"/>
        <v>0.13124461520080646</v>
      </c>
      <c r="O38" s="39">
        <f t="shared" si="11"/>
        <v>0.13922526848740086</v>
      </c>
      <c r="P38" s="39">
        <f t="shared" si="11"/>
        <v>0.14597801674521196</v>
      </c>
      <c r="Q38" s="39">
        <f t="shared" si="11"/>
        <v>0.15188297055131353</v>
      </c>
    </row>
    <row r="39" spans="1:17" ht="38.25">
      <c r="A39" s="14" t="s">
        <v>100</v>
      </c>
      <c r="B39" s="15" t="s">
        <v>101</v>
      </c>
      <c r="C39" s="59"/>
      <c r="D39" s="59"/>
      <c r="E39" s="59"/>
      <c r="F39" s="59">
        <f>+AVERAGE(C38:E38)</f>
        <v>0.07986913182502495</v>
      </c>
      <c r="G39" s="59">
        <f>+AVERAGE(D38,E38,F38)</f>
        <v>0.035976785098986226</v>
      </c>
      <c r="H39" s="59">
        <f>+AVERAGE(E38,F38,G38)</f>
        <v>0.028716658787054584</v>
      </c>
      <c r="I39" s="59">
        <f>+AVERAGE(F38,G38,H38)</f>
        <v>0.046871174300213515</v>
      </c>
      <c r="J39" s="59">
        <f aca="true" t="shared" si="12" ref="J39:O39">+AVERAGE(G38:I38)</f>
        <v>0.072712298808444</v>
      </c>
      <c r="K39" s="59">
        <f t="shared" si="12"/>
        <v>0.09005065368501967</v>
      </c>
      <c r="L39" s="59">
        <f t="shared" si="12"/>
        <v>0.09585807583728634</v>
      </c>
      <c r="M39" s="59">
        <f t="shared" si="12"/>
        <v>0.10028508909697341</v>
      </c>
      <c r="N39" s="59">
        <f t="shared" si="12"/>
        <v>0.11148660502338736</v>
      </c>
      <c r="O39" s="59">
        <f t="shared" si="12"/>
        <v>0.12158641049508738</v>
      </c>
      <c r="P39" s="59">
        <f>+AVERAGE(L38:N38)</f>
        <v>0.12158641049508738</v>
      </c>
      <c r="Q39" s="59">
        <f>+AVERAGE(M38:O38)</f>
        <v>0.13080556634755816</v>
      </c>
    </row>
    <row r="40" spans="1:17" s="41" customFormat="1" ht="25.5" hidden="1">
      <c r="A40" s="37"/>
      <c r="B40" s="38" t="s">
        <v>102</v>
      </c>
      <c r="C40" s="39"/>
      <c r="D40" s="39"/>
      <c r="E40" s="39"/>
      <c r="F40" s="39"/>
      <c r="G40" s="39" t="e">
        <f>+AVERAGE(D38,F38,#REF!)</f>
        <v>#REF!</v>
      </c>
      <c r="H40" s="39" t="e">
        <f>+AVERAGE(F38,#REF!,G38)</f>
        <v>#REF!</v>
      </c>
      <c r="I40" s="39">
        <f>+AVERAGE(G38:H38)</f>
        <v>0.059925067637202345</v>
      </c>
      <c r="J40" s="39">
        <f aca="true" t="shared" si="13" ref="J40:O40">+AVERAGE(G38:I38)</f>
        <v>0.072712298808444</v>
      </c>
      <c r="K40" s="40">
        <f t="shared" si="13"/>
        <v>0.09005065368501967</v>
      </c>
      <c r="L40" s="39">
        <f t="shared" si="13"/>
        <v>0.09585807583728634</v>
      </c>
      <c r="M40" s="39">
        <f t="shared" si="13"/>
        <v>0.10028508909697341</v>
      </c>
      <c r="N40" s="39">
        <f t="shared" si="13"/>
        <v>0.11148660502338736</v>
      </c>
      <c r="O40" s="39">
        <f t="shared" si="13"/>
        <v>0.12158641049508738</v>
      </c>
      <c r="P40" s="39">
        <f>+AVERAGE(L38:N38)</f>
        <v>0.12158641049508738</v>
      </c>
      <c r="Q40" s="39">
        <f>+AVERAGE(M38:O38)</f>
        <v>0.13080556634755816</v>
      </c>
    </row>
    <row r="41" spans="1:17" ht="25.5">
      <c r="A41" s="14">
        <v>16</v>
      </c>
      <c r="B41" s="15" t="s">
        <v>103</v>
      </c>
      <c r="C41" s="43" t="str">
        <f aca="true" t="shared" si="14" ref="C41:Q41">IF(C36&lt;C39,"TAK","NIE")</f>
        <v>NIE</v>
      </c>
      <c r="D41" s="43" t="str">
        <f t="shared" si="14"/>
        <v>NIE</v>
      </c>
      <c r="E41" s="43" t="str">
        <f t="shared" si="14"/>
        <v>NIE</v>
      </c>
      <c r="F41" s="43" t="str">
        <f t="shared" si="14"/>
        <v>NIE</v>
      </c>
      <c r="G41" s="43" t="str">
        <f t="shared" si="14"/>
        <v>NIE</v>
      </c>
      <c r="H41" s="43" t="str">
        <f t="shared" si="14"/>
        <v>NIE</v>
      </c>
      <c r="I41" s="43" t="str">
        <f t="shared" si="14"/>
        <v>TAK</v>
      </c>
      <c r="J41" s="43" t="str">
        <f t="shared" si="14"/>
        <v>TAK</v>
      </c>
      <c r="K41" s="44" t="str">
        <f t="shared" si="14"/>
        <v>TAK</v>
      </c>
      <c r="L41" s="43" t="str">
        <f t="shared" si="14"/>
        <v>TAK</v>
      </c>
      <c r="M41" s="43" t="str">
        <f t="shared" si="14"/>
        <v>TAK</v>
      </c>
      <c r="N41" s="43" t="str">
        <f t="shared" si="14"/>
        <v>TAK</v>
      </c>
      <c r="O41" s="43" t="str">
        <f t="shared" si="14"/>
        <v>TAK</v>
      </c>
      <c r="P41" s="43" t="str">
        <f t="shared" si="14"/>
        <v>TAK</v>
      </c>
      <c r="Q41" s="43" t="str">
        <f t="shared" si="14"/>
        <v>TAK</v>
      </c>
    </row>
    <row r="42" spans="1:17" ht="31.5" customHeight="1">
      <c r="A42" s="45">
        <v>17</v>
      </c>
      <c r="B42" s="46" t="s">
        <v>104</v>
      </c>
      <c r="C42" s="43"/>
      <c r="D42" s="43"/>
      <c r="E42" s="43"/>
      <c r="F42" s="43">
        <v>9770000</v>
      </c>
      <c r="G42" s="47">
        <v>8400000</v>
      </c>
      <c r="H42" s="47"/>
      <c r="I42" s="47"/>
      <c r="J42" s="47"/>
      <c r="K42" s="48"/>
      <c r="L42" s="47"/>
      <c r="M42" s="47"/>
      <c r="N42" s="47"/>
      <c r="O42" s="47"/>
      <c r="P42" s="47"/>
      <c r="Q42" s="47"/>
    </row>
    <row r="43" spans="1:17" ht="38.25">
      <c r="A43" s="14">
        <v>18</v>
      </c>
      <c r="B43" s="15" t="s">
        <v>121</v>
      </c>
      <c r="C43" s="36">
        <f>+C21/C6</f>
        <v>0.03214038806513095</v>
      </c>
      <c r="D43" s="36">
        <f>+D21/D6</f>
        <v>0.027923386373280554</v>
      </c>
      <c r="E43" s="36">
        <f>+E21/E6</f>
        <v>0.034690108197350564</v>
      </c>
      <c r="F43" s="36">
        <f>+F21/F6</f>
        <v>0.14069843735164145</v>
      </c>
      <c r="G43" s="36">
        <f aca="true" t="shared" si="15" ref="G43:Q43">+(G21+G13-G33)/G6</f>
        <v>0.10648317992680659</v>
      </c>
      <c r="H43" s="36">
        <f t="shared" si="15"/>
        <v>0.05766905822639831</v>
      </c>
      <c r="I43" s="36">
        <f t="shared" si="15"/>
        <v>0.04563862511427253</v>
      </c>
      <c r="J43" s="36">
        <f t="shared" si="15"/>
        <v>0.04939914977332787</v>
      </c>
      <c r="K43" s="36">
        <f t="shared" si="15"/>
        <v>0.04631310134231387</v>
      </c>
      <c r="L43" s="36">
        <f t="shared" si="15"/>
        <v>0.04298964082260808</v>
      </c>
      <c r="M43" s="36">
        <f t="shared" si="15"/>
        <v>0.038140206426366105</v>
      </c>
      <c r="N43" s="36">
        <f t="shared" si="15"/>
        <v>0.03196369891130884</v>
      </c>
      <c r="O43" s="36">
        <f t="shared" si="15"/>
        <v>0.021924323722614852</v>
      </c>
      <c r="P43" s="36">
        <f t="shared" si="15"/>
        <v>0.01913650464533557</v>
      </c>
      <c r="Q43" s="36">
        <f t="shared" si="15"/>
        <v>0.015081020452797099</v>
      </c>
    </row>
    <row r="44" spans="1:17" ht="25.5" hidden="1">
      <c r="A44" s="14"/>
      <c r="B44" s="15" t="s">
        <v>105</v>
      </c>
      <c r="C44" s="42" t="str">
        <f aca="true" t="shared" si="16" ref="C44:Q44">IF(C36&lt;15%,"TAK","NIE")</f>
        <v>TAK</v>
      </c>
      <c r="D44" s="42" t="str">
        <f t="shared" si="16"/>
        <v>TAK</v>
      </c>
      <c r="E44" s="42" t="str">
        <f t="shared" si="16"/>
        <v>TAK</v>
      </c>
      <c r="F44" s="42" t="str">
        <f t="shared" si="16"/>
        <v>TAK</v>
      </c>
      <c r="G44" s="42" t="str">
        <f t="shared" si="16"/>
        <v>TAK</v>
      </c>
      <c r="H44" s="42" t="str">
        <f t="shared" si="16"/>
        <v>TAK</v>
      </c>
      <c r="I44" s="42" t="str">
        <f t="shared" si="16"/>
        <v>TAK</v>
      </c>
      <c r="J44" s="42" t="str">
        <f t="shared" si="16"/>
        <v>TAK</v>
      </c>
      <c r="K44" s="44" t="str">
        <f t="shared" si="16"/>
        <v>TAK</v>
      </c>
      <c r="L44" s="42" t="str">
        <f t="shared" si="16"/>
        <v>TAK</v>
      </c>
      <c r="M44" s="42" t="str">
        <f t="shared" si="16"/>
        <v>TAK</v>
      </c>
      <c r="N44" s="42" t="str">
        <f t="shared" si="16"/>
        <v>TAK</v>
      </c>
      <c r="O44" s="42" t="str">
        <f t="shared" si="16"/>
        <v>TAK</v>
      </c>
      <c r="P44" s="42" t="str">
        <f t="shared" si="16"/>
        <v>TAK</v>
      </c>
      <c r="Q44" s="42" t="str">
        <f t="shared" si="16"/>
        <v>TAK</v>
      </c>
    </row>
    <row r="45" spans="1:17" ht="25.5">
      <c r="A45" s="14">
        <v>19</v>
      </c>
      <c r="B45" s="15" t="s">
        <v>106</v>
      </c>
      <c r="C45" s="36">
        <f aca="true" t="shared" si="17" ref="C45:Q45">+(C32-C33)/C6</f>
        <v>0.10407758334799798</v>
      </c>
      <c r="D45" s="36">
        <f t="shared" si="17"/>
        <v>0.1256391971247334</v>
      </c>
      <c r="E45" s="36">
        <f t="shared" si="17"/>
        <v>0.3037556175006564</v>
      </c>
      <c r="F45" s="36">
        <f t="shared" si="17"/>
        <v>0.23733052002555005</v>
      </c>
      <c r="G45" s="36">
        <f t="shared" si="17"/>
        <v>0.2780812038608193</v>
      </c>
      <c r="H45" s="36">
        <f t="shared" si="17"/>
        <v>0.26658421973692015</v>
      </c>
      <c r="I45" s="36">
        <f t="shared" si="17"/>
        <v>0.22886222389021316</v>
      </c>
      <c r="J45" s="36">
        <f t="shared" si="17"/>
        <v>0.1920386602223726</v>
      </c>
      <c r="K45" s="36">
        <f t="shared" si="17"/>
        <v>0.15241948263558314</v>
      </c>
      <c r="L45" s="36">
        <f t="shared" si="17"/>
        <v>0.11560601712276238</v>
      </c>
      <c r="M45" s="36">
        <f t="shared" si="17"/>
        <v>0.0829599470625355</v>
      </c>
      <c r="N45" s="36">
        <f t="shared" si="17"/>
        <v>0.05430024451439972</v>
      </c>
      <c r="O45" s="36">
        <f t="shared" si="17"/>
        <v>0.033275041387558775</v>
      </c>
      <c r="P45" s="36">
        <f t="shared" si="17"/>
        <v>0.014794842144945999</v>
      </c>
      <c r="Q45" s="36">
        <f t="shared" si="17"/>
        <v>0</v>
      </c>
    </row>
    <row r="46" spans="1:17" ht="12.75">
      <c r="A46" s="14">
        <v>20</v>
      </c>
      <c r="B46" s="15" t="s">
        <v>107</v>
      </c>
      <c r="C46" s="18">
        <f aca="true" t="shared" si="18" ref="C46:Q46">C10+C23</f>
        <v>105041901</v>
      </c>
      <c r="D46" s="18">
        <f t="shared" si="18"/>
        <v>116007067</v>
      </c>
      <c r="E46" s="18">
        <f t="shared" si="18"/>
        <v>127608051</v>
      </c>
      <c r="F46" s="18">
        <f t="shared" si="18"/>
        <v>132417840</v>
      </c>
      <c r="G46" s="16">
        <f t="shared" si="18"/>
        <v>127012454</v>
      </c>
      <c r="H46" s="16">
        <f t="shared" si="18"/>
        <v>130407297.17499998</v>
      </c>
      <c r="I46" s="16">
        <f t="shared" si="18"/>
        <v>133169809.12937497</v>
      </c>
      <c r="J46" s="16">
        <f t="shared" si="18"/>
        <v>136231507.2826093</v>
      </c>
      <c r="K46" s="16">
        <f t="shared" si="18"/>
        <v>139319100.83967453</v>
      </c>
      <c r="L46" s="16">
        <f t="shared" si="18"/>
        <v>142491559.01066637</v>
      </c>
      <c r="M46" s="16">
        <f t="shared" si="18"/>
        <v>145615031.73092237</v>
      </c>
      <c r="N46" s="16">
        <f t="shared" si="18"/>
        <v>148827510.7084645</v>
      </c>
      <c r="O46" s="16">
        <f t="shared" si="18"/>
        <v>152179066.30946764</v>
      </c>
      <c r="P46" s="16">
        <f t="shared" si="18"/>
        <v>155665768.78089488</v>
      </c>
      <c r="Q46" s="16">
        <f t="shared" si="18"/>
        <v>159227134.37563637</v>
      </c>
    </row>
    <row r="47" spans="1:17" ht="12.75">
      <c r="A47" s="14">
        <v>21</v>
      </c>
      <c r="B47" s="15" t="s">
        <v>108</v>
      </c>
      <c r="C47" s="18">
        <f aca="true" t="shared" si="19" ref="C47:Q47">C26+C46</f>
        <v>121883402</v>
      </c>
      <c r="D47" s="18">
        <f t="shared" si="19"/>
        <v>144302218</v>
      </c>
      <c r="E47" s="18">
        <f t="shared" si="19"/>
        <v>172687518</v>
      </c>
      <c r="F47" s="18">
        <f t="shared" si="19"/>
        <v>174751031</v>
      </c>
      <c r="G47" s="16">
        <f t="shared" si="19"/>
        <v>157426366</v>
      </c>
      <c r="H47" s="16">
        <f t="shared" si="19"/>
        <v>137138773.17499998</v>
      </c>
      <c r="I47" s="16">
        <f t="shared" si="19"/>
        <v>143552127.12937498</v>
      </c>
      <c r="J47" s="16">
        <f t="shared" si="19"/>
        <v>144330005.2826093</v>
      </c>
      <c r="K47" s="16">
        <f t="shared" si="19"/>
        <v>149884071.83967453</v>
      </c>
      <c r="L47" s="16">
        <f t="shared" si="19"/>
        <v>155307735.01066637</v>
      </c>
      <c r="M47" s="16">
        <f t="shared" si="19"/>
        <v>161054945.73092237</v>
      </c>
      <c r="N47" s="16">
        <f t="shared" si="19"/>
        <v>166855465.7084645</v>
      </c>
      <c r="O47" s="16">
        <f t="shared" si="19"/>
        <v>173373698.30946764</v>
      </c>
      <c r="P47" s="16">
        <f t="shared" si="19"/>
        <v>179087637.78089488</v>
      </c>
      <c r="Q47" s="16">
        <f t="shared" si="19"/>
        <v>185045226.37563637</v>
      </c>
    </row>
    <row r="48" spans="1:17" ht="25.5">
      <c r="A48" s="14">
        <v>22</v>
      </c>
      <c r="B48" s="15" t="s">
        <v>127</v>
      </c>
      <c r="C48" s="18">
        <f aca="true" t="shared" si="20" ref="C48:K48">C6-C47</f>
        <v>8043654</v>
      </c>
      <c r="D48" s="18">
        <f t="shared" si="20"/>
        <v>-6223335</v>
      </c>
      <c r="E48" s="18">
        <f t="shared" si="20"/>
        <v>-26451220</v>
      </c>
      <c r="F48" s="18">
        <f t="shared" si="20"/>
        <v>4744438</v>
      </c>
      <c r="G48" s="16">
        <f t="shared" si="20"/>
        <v>-2486196</v>
      </c>
      <c r="H48" s="16">
        <f t="shared" si="20"/>
        <v>5153163.825000018</v>
      </c>
      <c r="I48" s="16">
        <f t="shared" si="20"/>
        <v>4133193.870625019</v>
      </c>
      <c r="J48" s="21">
        <f t="shared" si="20"/>
        <v>5102728.55739069</v>
      </c>
      <c r="K48" s="21">
        <f t="shared" si="20"/>
        <v>5077673.152405471</v>
      </c>
      <c r="L48" s="49">
        <f>L6-L47</f>
        <v>5077671.056136429</v>
      </c>
      <c r="M48" s="16">
        <f>M6-M47</f>
        <v>4783564.142151743</v>
      </c>
      <c r="N48" s="16">
        <f>N6-N47</f>
        <v>4455714.990421057</v>
      </c>
      <c r="O48" s="16">
        <f>O6-O47</f>
        <v>3419440.171782255</v>
      </c>
      <c r="P48" s="16">
        <f>P6-P47</f>
        <v>3186087.993273765</v>
      </c>
      <c r="Q48" s="16">
        <f>Q6-Q47</f>
        <v>2696711.1717573404</v>
      </c>
    </row>
    <row r="49" spans="1:17" ht="12.75">
      <c r="A49" s="14">
        <v>23</v>
      </c>
      <c r="B49" s="15" t="s">
        <v>109</v>
      </c>
      <c r="C49" s="18">
        <f aca="true" t="shared" si="21" ref="C49:Q49">C17+C19+C28</f>
        <v>0</v>
      </c>
      <c r="D49" s="18">
        <f t="shared" si="21"/>
        <v>13317220</v>
      </c>
      <c r="E49" s="18">
        <f t="shared" si="21"/>
        <v>34915236</v>
      </c>
      <c r="F49" s="18">
        <f t="shared" si="21"/>
        <v>18781780</v>
      </c>
      <c r="G49" s="16">
        <f t="shared" si="21"/>
        <v>16196711</v>
      </c>
      <c r="H49" s="16">
        <f t="shared" si="21"/>
        <v>0</v>
      </c>
      <c r="I49" s="16">
        <f t="shared" si="21"/>
        <v>-0.17499998211860657</v>
      </c>
      <c r="J49" s="21">
        <f t="shared" si="21"/>
        <v>-0.30437494814395905</v>
      </c>
      <c r="K49" s="21">
        <f t="shared" si="21"/>
        <v>0.25301574170589447</v>
      </c>
      <c r="L49" s="49">
        <f t="shared" si="21"/>
        <v>0.4054212123155594</v>
      </c>
      <c r="M49" s="16">
        <f t="shared" si="21"/>
        <v>0.46155764162540436</v>
      </c>
      <c r="N49" s="16">
        <f t="shared" si="21"/>
        <v>-0.3962906152009964</v>
      </c>
      <c r="O49" s="16">
        <f t="shared" si="21"/>
        <v>-0.4058695584535599</v>
      </c>
      <c r="P49" s="16">
        <f t="shared" si="21"/>
        <v>-0.4058695584535599</v>
      </c>
      <c r="Q49" s="16">
        <f t="shared" si="21"/>
        <v>-0.23408730328083038</v>
      </c>
    </row>
    <row r="50" spans="1:17" ht="12.75">
      <c r="A50" s="14">
        <v>24</v>
      </c>
      <c r="B50" s="15" t="s">
        <v>110</v>
      </c>
      <c r="C50" s="18">
        <f aca="true" t="shared" si="22" ref="C50:K50">C22+C24</f>
        <v>3890709</v>
      </c>
      <c r="D50" s="18">
        <f t="shared" si="22"/>
        <v>5338649</v>
      </c>
      <c r="E50" s="18">
        <f t="shared" si="22"/>
        <v>7780159</v>
      </c>
      <c r="F50" s="18">
        <f t="shared" si="22"/>
        <v>23526218</v>
      </c>
      <c r="G50" s="16">
        <f t="shared" si="22"/>
        <v>13710515</v>
      </c>
      <c r="H50" s="16">
        <f t="shared" si="22"/>
        <v>5153164</v>
      </c>
      <c r="I50" s="16">
        <f t="shared" si="22"/>
        <v>4133194</v>
      </c>
      <c r="J50" s="21">
        <f t="shared" si="22"/>
        <v>5102729</v>
      </c>
      <c r="K50" s="21">
        <f t="shared" si="22"/>
        <v>5077673</v>
      </c>
      <c r="L50" s="49">
        <f>L22+L24</f>
        <v>5077671</v>
      </c>
      <c r="M50" s="16">
        <f>M22+M24</f>
        <v>4783564</v>
      </c>
      <c r="N50" s="16">
        <f>N22+N24</f>
        <v>4455715</v>
      </c>
      <c r="O50" s="16">
        <f>O22+O24</f>
        <v>3419440</v>
      </c>
      <c r="P50" s="16">
        <f>P22+P24</f>
        <v>3186088</v>
      </c>
      <c r="Q50" s="16">
        <f>Q22+Q24</f>
        <v>2696711</v>
      </c>
    </row>
    <row r="51" spans="1:17" ht="12.75" hidden="1">
      <c r="A51" s="50">
        <v>24</v>
      </c>
      <c r="B51" s="51" t="s">
        <v>111</v>
      </c>
      <c r="C51" s="52">
        <f aca="true" t="shared" si="23" ref="C51:Q51">+C7-C46</f>
        <v>19161814</v>
      </c>
      <c r="D51" s="52">
        <f t="shared" si="23"/>
        <v>6695808</v>
      </c>
      <c r="E51" s="52">
        <f t="shared" si="23"/>
        <v>-714004</v>
      </c>
      <c r="F51" s="52">
        <f t="shared" si="23"/>
        <v>-751825</v>
      </c>
      <c r="G51" s="53">
        <f t="shared" si="23"/>
        <v>3170483</v>
      </c>
      <c r="H51" s="53">
        <f t="shared" si="23"/>
        <v>7884639.825000018</v>
      </c>
      <c r="I51" s="53">
        <f t="shared" si="23"/>
        <v>10515511.870625034</v>
      </c>
      <c r="J51" s="54">
        <f t="shared" si="23"/>
        <v>13201226.55739069</v>
      </c>
      <c r="K51" s="54">
        <f t="shared" si="23"/>
        <v>15642644.15240547</v>
      </c>
      <c r="L51" s="55">
        <f t="shared" si="23"/>
        <v>17893847.05613643</v>
      </c>
      <c r="M51" s="53">
        <f t="shared" si="23"/>
        <v>20223478.142151743</v>
      </c>
      <c r="N51" s="53">
        <f t="shared" si="23"/>
        <v>22483669.990421057</v>
      </c>
      <c r="O51" s="53">
        <f t="shared" si="23"/>
        <v>24614072.171782255</v>
      </c>
      <c r="P51" s="53">
        <f t="shared" si="23"/>
        <v>26607956.993273765</v>
      </c>
      <c r="Q51" s="53">
        <f t="shared" si="23"/>
        <v>28514803.17175734</v>
      </c>
    </row>
    <row r="52" spans="1:17" ht="12.75" hidden="1">
      <c r="A52" s="50">
        <v>25</v>
      </c>
      <c r="B52" s="51" t="s">
        <v>112</v>
      </c>
      <c r="C52" s="52">
        <f aca="true" t="shared" si="24" ref="C52:Q52">+C7+C17-C46</f>
        <v>19161814</v>
      </c>
      <c r="D52" s="52">
        <f t="shared" si="24"/>
        <v>10848753</v>
      </c>
      <c r="E52" s="52">
        <f t="shared" si="24"/>
        <v>1041232</v>
      </c>
      <c r="F52" s="52">
        <f t="shared" si="24"/>
        <v>-67968</v>
      </c>
      <c r="G52" s="53">
        <f t="shared" si="24"/>
        <v>3170483</v>
      </c>
      <c r="H52" s="53">
        <f t="shared" si="24"/>
        <v>7884639.825000018</v>
      </c>
      <c r="I52" s="53">
        <f t="shared" si="24"/>
        <v>10515511.695625052</v>
      </c>
      <c r="J52" s="54">
        <f t="shared" si="24"/>
        <v>13201226.253015727</v>
      </c>
      <c r="K52" s="54">
        <f t="shared" si="24"/>
        <v>15642644.405421197</v>
      </c>
      <c r="L52" s="55">
        <f t="shared" si="24"/>
        <v>17893847.461557627</v>
      </c>
      <c r="M52" s="53">
        <f t="shared" si="24"/>
        <v>20223478.60370937</v>
      </c>
      <c r="N52" s="53">
        <f t="shared" si="24"/>
        <v>22483669.594130456</v>
      </c>
      <c r="O52" s="53">
        <f t="shared" si="24"/>
        <v>24614071.76591268</v>
      </c>
      <c r="P52" s="53">
        <f t="shared" si="24"/>
        <v>26607956.58740419</v>
      </c>
      <c r="Q52" s="53">
        <f t="shared" si="24"/>
        <v>28514802.937670022</v>
      </c>
    </row>
    <row r="53" spans="1:17" ht="12.75" hidden="1">
      <c r="A53" s="50">
        <v>24</v>
      </c>
      <c r="B53" s="51" t="s">
        <v>113</v>
      </c>
      <c r="C53" s="52">
        <f aca="true" t="shared" si="25" ref="C53:Q53">+C7-C46</f>
        <v>19161814</v>
      </c>
      <c r="D53" s="52">
        <f t="shared" si="25"/>
        <v>6695808</v>
      </c>
      <c r="E53" s="52">
        <f t="shared" si="25"/>
        <v>-714004</v>
      </c>
      <c r="F53" s="52">
        <f t="shared" si="25"/>
        <v>-751825</v>
      </c>
      <c r="G53" s="53">
        <f t="shared" si="25"/>
        <v>3170483</v>
      </c>
      <c r="H53" s="53">
        <f t="shared" si="25"/>
        <v>7884639.825000018</v>
      </c>
      <c r="I53" s="53">
        <f t="shared" si="25"/>
        <v>10515511.870625034</v>
      </c>
      <c r="J53" s="54">
        <f t="shared" si="25"/>
        <v>13201226.55739069</v>
      </c>
      <c r="K53" s="54">
        <f t="shared" si="25"/>
        <v>15642644.15240547</v>
      </c>
      <c r="L53" s="55">
        <f t="shared" si="25"/>
        <v>17893847.05613643</v>
      </c>
      <c r="M53" s="53">
        <f t="shared" si="25"/>
        <v>20223478.142151743</v>
      </c>
      <c r="N53" s="53">
        <f t="shared" si="25"/>
        <v>22483669.990421057</v>
      </c>
      <c r="O53" s="53">
        <f t="shared" si="25"/>
        <v>24614072.171782255</v>
      </c>
      <c r="P53" s="53">
        <f t="shared" si="25"/>
        <v>26607956.993273765</v>
      </c>
      <c r="Q53" s="53">
        <f t="shared" si="25"/>
        <v>28514803.17175734</v>
      </c>
    </row>
    <row r="54" spans="1:17" ht="12.75">
      <c r="A54" s="14">
        <v>25</v>
      </c>
      <c r="B54" s="1" t="s">
        <v>114</v>
      </c>
      <c r="C54" s="18"/>
      <c r="D54" s="18"/>
      <c r="E54" s="18"/>
      <c r="F54" s="18"/>
      <c r="G54" s="16"/>
      <c r="H54" s="16"/>
      <c r="I54" s="16"/>
      <c r="J54" s="21"/>
      <c r="K54" s="21"/>
      <c r="L54" s="49"/>
      <c r="M54" s="16"/>
      <c r="N54" s="16"/>
      <c r="O54" s="16"/>
      <c r="P54" s="16"/>
      <c r="Q54" s="16"/>
    </row>
    <row r="55" spans="1:17" ht="12.75">
      <c r="A55" s="56"/>
      <c r="B55" s="1" t="s">
        <v>115</v>
      </c>
      <c r="C55" s="18"/>
      <c r="D55" s="18"/>
      <c r="E55" s="18"/>
      <c r="F55" s="16">
        <f aca="true" t="shared" si="26" ref="F55:Q55">F48</f>
        <v>4744438</v>
      </c>
      <c r="G55" s="16"/>
      <c r="H55" s="16">
        <f t="shared" si="26"/>
        <v>5153163.825000018</v>
      </c>
      <c r="I55" s="16">
        <f t="shared" si="26"/>
        <v>4133193.870625019</v>
      </c>
      <c r="J55" s="21">
        <f t="shared" si="26"/>
        <v>5102728.55739069</v>
      </c>
      <c r="K55" s="21">
        <f t="shared" si="26"/>
        <v>5077673.152405471</v>
      </c>
      <c r="L55" s="49">
        <f t="shared" si="26"/>
        <v>5077671.056136429</v>
      </c>
      <c r="M55" s="16">
        <f t="shared" si="26"/>
        <v>4783564.142151743</v>
      </c>
      <c r="N55" s="16">
        <f t="shared" si="26"/>
        <v>4455714.990421057</v>
      </c>
      <c r="O55" s="16">
        <f t="shared" si="26"/>
        <v>3419440.171782255</v>
      </c>
      <c r="P55" s="16">
        <f t="shared" si="26"/>
        <v>3186087.993273765</v>
      </c>
      <c r="Q55" s="16">
        <f t="shared" si="26"/>
        <v>2696711.1717573404</v>
      </c>
    </row>
    <row r="56" spans="1:17" ht="12.75">
      <c r="A56" s="57"/>
      <c r="B56" s="1" t="s">
        <v>116</v>
      </c>
      <c r="C56" s="18"/>
      <c r="D56" s="18"/>
      <c r="E56" s="18"/>
      <c r="F56" s="18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2.75">
      <c r="A57" s="14">
        <v>26</v>
      </c>
      <c r="B57" s="1" t="s">
        <v>117</v>
      </c>
      <c r="C57" s="18"/>
      <c r="D57" s="18"/>
      <c r="E57" s="18"/>
      <c r="F57" s="18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2.75">
      <c r="A58" s="56"/>
      <c r="B58" s="1" t="s">
        <v>118</v>
      </c>
      <c r="C58" s="18"/>
      <c r="D58" s="18"/>
      <c r="E58" s="18"/>
      <c r="F58" s="16">
        <f>F49</f>
        <v>18781780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2.75">
      <c r="A59" s="58"/>
      <c r="B59" s="1" t="s">
        <v>119</v>
      </c>
      <c r="C59" s="18"/>
      <c r="D59" s="18"/>
      <c r="E59" s="18"/>
      <c r="F59" s="18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2.75">
      <c r="A60" s="57"/>
      <c r="B60" s="1" t="s">
        <v>120</v>
      </c>
      <c r="C60" s="18"/>
      <c r="D60" s="18"/>
      <c r="E60" s="18"/>
      <c r="F60" s="18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</sheetData>
  <sheetProtection/>
  <mergeCells count="4">
    <mergeCell ref="O3:Q3"/>
    <mergeCell ref="A3:N3"/>
    <mergeCell ref="A31:B31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70" r:id="rId1"/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1"/>
  <sheetViews>
    <sheetView tabSelected="1" zoomScale="70" zoomScaleNormal="70" workbookViewId="0" topLeftCell="A1">
      <selection activeCell="F46" sqref="F46"/>
    </sheetView>
  </sheetViews>
  <sheetFormatPr defaultColWidth="9.140625" defaultRowHeight="12.75"/>
  <cols>
    <col min="1" max="1" width="48.7109375" style="67" customWidth="1"/>
    <col min="2" max="2" width="12.8515625" style="67" customWidth="1"/>
    <col min="3" max="3" width="15.28125" style="67" customWidth="1"/>
    <col min="4" max="5" width="9.140625" style="67" customWidth="1"/>
    <col min="6" max="6" width="27.8515625" style="67" bestFit="1" customWidth="1"/>
    <col min="7" max="7" width="13.00390625" style="67" hidden="1" customWidth="1"/>
    <col min="8" max="8" width="16.140625" style="132" customWidth="1"/>
    <col min="9" max="9" width="15.00390625" style="67" customWidth="1"/>
    <col min="10" max="10" width="15.28125" style="67" customWidth="1"/>
    <col min="11" max="12" width="12.7109375" style="67" customWidth="1"/>
    <col min="13" max="13" width="12.421875" style="67" customWidth="1"/>
    <col min="14" max="14" width="12.7109375" style="67" customWidth="1"/>
    <col min="15" max="15" width="12.28125" style="67" customWidth="1"/>
    <col min="16" max="16" width="15.421875" style="67" customWidth="1"/>
    <col min="17" max="16384" width="9.140625" style="67" customWidth="1"/>
  </cols>
  <sheetData>
    <row r="1" spans="1:17" ht="15.75">
      <c r="A1" s="135" t="s">
        <v>124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7" t="s">
        <v>0</v>
      </c>
      <c r="O1" s="137"/>
      <c r="P1" s="137"/>
      <c r="Q1" s="136"/>
    </row>
    <row r="2" spans="1:16" s="74" customFormat="1" ht="25.5" customHeight="1">
      <c r="A2" s="68" t="s">
        <v>1</v>
      </c>
      <c r="B2" s="69"/>
      <c r="C2" s="70" t="s">
        <v>2</v>
      </c>
      <c r="D2" s="71" t="s">
        <v>3</v>
      </c>
      <c r="E2" s="71"/>
      <c r="F2" s="70" t="s">
        <v>4</v>
      </c>
      <c r="G2" s="70" t="s">
        <v>5</v>
      </c>
      <c r="H2" s="72" t="s">
        <v>6</v>
      </c>
      <c r="I2" s="70" t="s">
        <v>7</v>
      </c>
      <c r="J2" s="70" t="s">
        <v>8</v>
      </c>
      <c r="K2" s="70" t="s">
        <v>9</v>
      </c>
      <c r="L2" s="73" t="s">
        <v>10</v>
      </c>
      <c r="M2" s="73" t="s">
        <v>11</v>
      </c>
      <c r="N2" s="73" t="s">
        <v>12</v>
      </c>
      <c r="O2" s="73" t="s">
        <v>13</v>
      </c>
      <c r="P2" s="73" t="s">
        <v>14</v>
      </c>
    </row>
    <row r="3" spans="1:16" s="74" customFormat="1" ht="25.5" customHeight="1">
      <c r="A3" s="75"/>
      <c r="B3" s="76"/>
      <c r="C3" s="70"/>
      <c r="D3" s="77" t="s">
        <v>15</v>
      </c>
      <c r="E3" s="77" t="s">
        <v>16</v>
      </c>
      <c r="F3" s="70"/>
      <c r="G3" s="70"/>
      <c r="H3" s="72"/>
      <c r="I3" s="70"/>
      <c r="J3" s="70"/>
      <c r="K3" s="70"/>
      <c r="L3" s="78"/>
      <c r="M3" s="78"/>
      <c r="N3" s="78"/>
      <c r="O3" s="78"/>
      <c r="P3" s="78"/>
    </row>
    <row r="4" spans="1:16" s="81" customFormat="1" ht="20.25" customHeight="1">
      <c r="A4" s="79" t="s">
        <v>17</v>
      </c>
      <c r="B4" s="80"/>
      <c r="F4" s="82">
        <f aca="true" t="shared" si="0" ref="F4:P4">F5+F6</f>
        <v>20048775</v>
      </c>
      <c r="G4" s="82">
        <f t="shared" si="0"/>
        <v>8571673</v>
      </c>
      <c r="H4" s="82">
        <f t="shared" si="0"/>
        <v>6674255</v>
      </c>
      <c r="I4" s="82">
        <f t="shared" si="0"/>
        <v>6573863</v>
      </c>
      <c r="J4" s="82">
        <f t="shared" si="0"/>
        <v>1225454</v>
      </c>
      <c r="K4" s="82">
        <f t="shared" si="0"/>
        <v>583396</v>
      </c>
      <c r="L4" s="82">
        <f t="shared" si="0"/>
        <v>636112</v>
      </c>
      <c r="M4" s="82">
        <f t="shared" si="0"/>
        <v>628211</v>
      </c>
      <c r="N4" s="82">
        <f t="shared" si="0"/>
        <v>620310</v>
      </c>
      <c r="O4" s="82">
        <f t="shared" si="0"/>
        <v>358955</v>
      </c>
      <c r="P4" s="82">
        <f t="shared" si="0"/>
        <v>6241533</v>
      </c>
    </row>
    <row r="5" spans="1:16" s="85" customFormat="1" ht="18" customHeight="1">
      <c r="A5" s="83" t="s">
        <v>18</v>
      </c>
      <c r="B5" s="84"/>
      <c r="F5" s="86">
        <f aca="true" t="shared" si="1" ref="F5:P5">F8+F25+F34</f>
        <v>11863373</v>
      </c>
      <c r="G5" s="86">
        <f t="shared" si="1"/>
        <v>2739244</v>
      </c>
      <c r="H5" s="86">
        <f t="shared" si="1"/>
        <v>2701554</v>
      </c>
      <c r="I5" s="86">
        <f t="shared" si="1"/>
        <v>2361162</v>
      </c>
      <c r="J5" s="86">
        <f t="shared" si="1"/>
        <v>1225454</v>
      </c>
      <c r="K5" s="86">
        <f t="shared" si="1"/>
        <v>583396</v>
      </c>
      <c r="L5" s="86">
        <f t="shared" si="1"/>
        <v>636112</v>
      </c>
      <c r="M5" s="86">
        <f t="shared" si="1"/>
        <v>628211</v>
      </c>
      <c r="N5" s="86">
        <f t="shared" si="1"/>
        <v>620310</v>
      </c>
      <c r="O5" s="86">
        <f t="shared" si="1"/>
        <v>358955</v>
      </c>
      <c r="P5" s="86">
        <f t="shared" si="1"/>
        <v>0</v>
      </c>
    </row>
    <row r="6" spans="1:16" s="89" customFormat="1" ht="18.75" customHeight="1">
      <c r="A6" s="87" t="s">
        <v>19</v>
      </c>
      <c r="B6" s="88"/>
      <c r="F6" s="90">
        <f aca="true" t="shared" si="2" ref="F6:P6">F9+F32</f>
        <v>8185402</v>
      </c>
      <c r="G6" s="90">
        <f t="shared" si="2"/>
        <v>5832429</v>
      </c>
      <c r="H6" s="90">
        <f t="shared" si="2"/>
        <v>3972701</v>
      </c>
      <c r="I6" s="90">
        <f t="shared" si="2"/>
        <v>4212701</v>
      </c>
      <c r="J6" s="90">
        <f t="shared" si="2"/>
        <v>0</v>
      </c>
      <c r="K6" s="90">
        <f t="shared" si="2"/>
        <v>0</v>
      </c>
      <c r="L6" s="90">
        <f t="shared" si="2"/>
        <v>0</v>
      </c>
      <c r="M6" s="90">
        <f t="shared" si="2"/>
        <v>0</v>
      </c>
      <c r="N6" s="90">
        <f t="shared" si="2"/>
        <v>0</v>
      </c>
      <c r="O6" s="90">
        <f t="shared" si="2"/>
        <v>0</v>
      </c>
      <c r="P6" s="90">
        <f t="shared" si="2"/>
        <v>6241533</v>
      </c>
    </row>
    <row r="7" spans="1:16" s="91" customFormat="1" ht="18" customHeight="1">
      <c r="A7" s="149" t="s">
        <v>20</v>
      </c>
      <c r="B7" s="150"/>
      <c r="C7" s="151"/>
      <c r="F7" s="92">
        <f aca="true" t="shared" si="3" ref="F7:P7">F8+F9</f>
        <v>9077385</v>
      </c>
      <c r="G7" s="92">
        <f t="shared" si="3"/>
        <v>6075326</v>
      </c>
      <c r="H7" s="92">
        <f t="shared" si="3"/>
        <v>4247316</v>
      </c>
      <c r="I7" s="92">
        <f t="shared" si="3"/>
        <v>4487316</v>
      </c>
      <c r="J7" s="92">
        <f t="shared" si="3"/>
        <v>99856</v>
      </c>
      <c r="K7" s="92">
        <f t="shared" si="3"/>
        <v>0</v>
      </c>
      <c r="L7" s="92">
        <f t="shared" si="3"/>
        <v>0</v>
      </c>
      <c r="M7" s="92">
        <f t="shared" si="3"/>
        <v>0</v>
      </c>
      <c r="N7" s="92">
        <f t="shared" si="3"/>
        <v>0</v>
      </c>
      <c r="O7" s="92">
        <f t="shared" si="3"/>
        <v>0</v>
      </c>
      <c r="P7" s="92">
        <f t="shared" si="3"/>
        <v>6241533</v>
      </c>
    </row>
    <row r="8" spans="1:16" s="95" customFormat="1" ht="18" customHeight="1">
      <c r="A8" s="93" t="s">
        <v>18</v>
      </c>
      <c r="B8" s="94"/>
      <c r="F8" s="96">
        <f aca="true" t="shared" si="4" ref="F8:P8">F11+F15+F18</f>
        <v>891983</v>
      </c>
      <c r="G8" s="96">
        <f t="shared" si="4"/>
        <v>242897</v>
      </c>
      <c r="H8" s="96">
        <f t="shared" si="4"/>
        <v>274615</v>
      </c>
      <c r="I8" s="96">
        <f t="shared" si="4"/>
        <v>274615</v>
      </c>
      <c r="J8" s="96">
        <f t="shared" si="4"/>
        <v>99856</v>
      </c>
      <c r="K8" s="96">
        <f t="shared" si="4"/>
        <v>0</v>
      </c>
      <c r="L8" s="96">
        <f t="shared" si="4"/>
        <v>0</v>
      </c>
      <c r="M8" s="96">
        <f t="shared" si="4"/>
        <v>0</v>
      </c>
      <c r="N8" s="96">
        <f t="shared" si="4"/>
        <v>0</v>
      </c>
      <c r="O8" s="96">
        <f t="shared" si="4"/>
        <v>0</v>
      </c>
      <c r="P8" s="96">
        <f t="shared" si="4"/>
        <v>0</v>
      </c>
    </row>
    <row r="9" spans="1:16" s="99" customFormat="1" ht="17.25" customHeight="1">
      <c r="A9" s="97" t="s">
        <v>19</v>
      </c>
      <c r="B9" s="98"/>
      <c r="F9" s="100">
        <f aca="true" t="shared" si="5" ref="F9:P9">F12+F16+F21</f>
        <v>8185402</v>
      </c>
      <c r="G9" s="100">
        <f t="shared" si="5"/>
        <v>5832429</v>
      </c>
      <c r="H9" s="100">
        <f t="shared" si="5"/>
        <v>3972701</v>
      </c>
      <c r="I9" s="100">
        <f t="shared" si="5"/>
        <v>4212701</v>
      </c>
      <c r="J9" s="100">
        <f t="shared" si="5"/>
        <v>0</v>
      </c>
      <c r="K9" s="100">
        <f t="shared" si="5"/>
        <v>0</v>
      </c>
      <c r="L9" s="100">
        <f t="shared" si="5"/>
        <v>0</v>
      </c>
      <c r="M9" s="100">
        <f t="shared" si="5"/>
        <v>0</v>
      </c>
      <c r="N9" s="100">
        <f t="shared" si="5"/>
        <v>0</v>
      </c>
      <c r="O9" s="100">
        <f t="shared" si="5"/>
        <v>0</v>
      </c>
      <c r="P9" s="100">
        <f t="shared" si="5"/>
        <v>6241533</v>
      </c>
    </row>
    <row r="10" spans="1:16" ht="33" customHeight="1">
      <c r="A10" s="146" t="s">
        <v>21</v>
      </c>
      <c r="B10" s="147"/>
      <c r="C10" s="148"/>
      <c r="F10" s="138">
        <f aca="true" t="shared" si="6" ref="F10:P10">F11+F12</f>
        <v>6800000</v>
      </c>
      <c r="G10" s="138">
        <f t="shared" si="6"/>
        <v>1385002</v>
      </c>
      <c r="H10" s="138">
        <f t="shared" si="6"/>
        <v>3280000</v>
      </c>
      <c r="I10" s="138">
        <f t="shared" si="6"/>
        <v>3520000</v>
      </c>
      <c r="J10" s="138">
        <f t="shared" si="6"/>
        <v>0</v>
      </c>
      <c r="K10" s="138">
        <f t="shared" si="6"/>
        <v>0</v>
      </c>
      <c r="L10" s="138">
        <f t="shared" si="6"/>
        <v>0</v>
      </c>
      <c r="M10" s="138">
        <f t="shared" si="6"/>
        <v>0</v>
      </c>
      <c r="N10" s="138">
        <f t="shared" si="6"/>
        <v>0</v>
      </c>
      <c r="O10" s="138">
        <f t="shared" si="6"/>
        <v>0</v>
      </c>
      <c r="P10" s="138">
        <f t="shared" si="6"/>
        <v>5548832</v>
      </c>
    </row>
    <row r="11" spans="1:36" s="102" customFormat="1" ht="18" customHeight="1">
      <c r="A11" s="157" t="s">
        <v>18</v>
      </c>
      <c r="B11" s="158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</row>
    <row r="12" spans="1:16" s="105" customFormat="1" ht="19.5" customHeight="1">
      <c r="A12" s="159" t="s">
        <v>19</v>
      </c>
      <c r="B12" s="160"/>
      <c r="C12" s="104"/>
      <c r="F12" s="139">
        <f aca="true" t="shared" si="7" ref="F12:P12">SUM(F13:F13)</f>
        <v>6800000</v>
      </c>
      <c r="G12" s="139">
        <f t="shared" si="7"/>
        <v>1385002</v>
      </c>
      <c r="H12" s="139">
        <f t="shared" si="7"/>
        <v>3280000</v>
      </c>
      <c r="I12" s="139">
        <f t="shared" si="7"/>
        <v>3520000</v>
      </c>
      <c r="J12" s="139">
        <f t="shared" si="7"/>
        <v>0</v>
      </c>
      <c r="K12" s="139">
        <f t="shared" si="7"/>
        <v>0</v>
      </c>
      <c r="L12" s="139">
        <f t="shared" si="7"/>
        <v>0</v>
      </c>
      <c r="M12" s="139">
        <f t="shared" si="7"/>
        <v>0</v>
      </c>
      <c r="N12" s="139">
        <f t="shared" si="7"/>
        <v>0</v>
      </c>
      <c r="O12" s="139">
        <f t="shared" si="7"/>
        <v>0</v>
      </c>
      <c r="P12" s="139">
        <f t="shared" si="7"/>
        <v>5548832</v>
      </c>
    </row>
    <row r="13" spans="1:16" s="109" customFormat="1" ht="29.25" customHeight="1">
      <c r="A13" s="140" t="s">
        <v>125</v>
      </c>
      <c r="B13" s="141"/>
      <c r="C13" s="142" t="s">
        <v>22</v>
      </c>
      <c r="D13" s="143">
        <v>2012</v>
      </c>
      <c r="E13" s="143">
        <v>2013</v>
      </c>
      <c r="F13" s="144">
        <f>H13+I13</f>
        <v>6800000</v>
      </c>
      <c r="G13" s="144">
        <v>1385002</v>
      </c>
      <c r="H13" s="145">
        <v>3280000</v>
      </c>
      <c r="I13" s="144">
        <f>6800000-3280000</f>
        <v>3520000</v>
      </c>
      <c r="J13" s="144"/>
      <c r="K13" s="144"/>
      <c r="L13" s="143"/>
      <c r="M13" s="143"/>
      <c r="N13" s="143"/>
      <c r="O13" s="143"/>
      <c r="P13" s="108">
        <v>5548832</v>
      </c>
    </row>
    <row r="14" spans="1:16" ht="30.75" customHeight="1">
      <c r="A14" s="146" t="s">
        <v>23</v>
      </c>
      <c r="B14" s="148"/>
      <c r="C14" s="152"/>
      <c r="D14" s="153"/>
      <c r="E14" s="153"/>
      <c r="F14" s="138">
        <v>0</v>
      </c>
      <c r="G14" s="138">
        <f>+G15+G16</f>
        <v>0</v>
      </c>
      <c r="H14" s="145">
        <f>+H15+H16</f>
        <v>0</v>
      </c>
      <c r="I14" s="138">
        <f>+I15+I16</f>
        <v>0</v>
      </c>
      <c r="J14" s="138">
        <f>+J15+J16</f>
        <v>0</v>
      </c>
      <c r="K14" s="138">
        <f>+K15+K16</f>
        <v>0</v>
      </c>
      <c r="L14" s="153">
        <v>0</v>
      </c>
      <c r="M14" s="153">
        <v>0</v>
      </c>
      <c r="N14" s="153">
        <v>0</v>
      </c>
      <c r="O14" s="153">
        <v>0</v>
      </c>
      <c r="P14" s="110">
        <f>SUM(G14:O14)</f>
        <v>0</v>
      </c>
    </row>
    <row r="15" spans="1:16" s="102" customFormat="1" ht="20.25" customHeight="1">
      <c r="A15" s="161" t="s">
        <v>18</v>
      </c>
      <c r="B15" s="162"/>
      <c r="C15" s="163"/>
      <c r="D15" s="163"/>
      <c r="E15" s="163"/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3"/>
      <c r="P15" s="164">
        <f>SUM(G15:O15)</f>
        <v>0</v>
      </c>
    </row>
    <row r="16" spans="1:16" s="105" customFormat="1" ht="20.25" customHeight="1">
      <c r="A16" s="159" t="s">
        <v>19</v>
      </c>
      <c r="B16" s="160"/>
      <c r="C16" s="165"/>
      <c r="D16" s="165"/>
      <c r="E16" s="165"/>
      <c r="F16" s="139">
        <v>0</v>
      </c>
      <c r="G16" s="139">
        <v>0</v>
      </c>
      <c r="H16" s="139">
        <v>0</v>
      </c>
      <c r="I16" s="139"/>
      <c r="J16" s="139"/>
      <c r="K16" s="139"/>
      <c r="L16" s="165"/>
      <c r="M16" s="165"/>
      <c r="N16" s="165"/>
      <c r="O16" s="165"/>
      <c r="P16" s="139">
        <f>SUM(G16:O16)</f>
        <v>0</v>
      </c>
    </row>
    <row r="17" spans="1:16" ht="28.5" customHeight="1">
      <c r="A17" s="146" t="s">
        <v>24</v>
      </c>
      <c r="B17" s="148"/>
      <c r="C17" s="154"/>
      <c r="D17" s="153"/>
      <c r="E17" s="153"/>
      <c r="F17" s="138">
        <f aca="true" t="shared" si="8" ref="F17:P17">F18+F21</f>
        <v>2277385</v>
      </c>
      <c r="G17" s="138">
        <f t="shared" si="8"/>
        <v>4690324</v>
      </c>
      <c r="H17" s="138">
        <f t="shared" si="8"/>
        <v>967316</v>
      </c>
      <c r="I17" s="138">
        <f t="shared" si="8"/>
        <v>967316</v>
      </c>
      <c r="J17" s="138">
        <f t="shared" si="8"/>
        <v>99856</v>
      </c>
      <c r="K17" s="138">
        <f t="shared" si="8"/>
        <v>0</v>
      </c>
      <c r="L17" s="138">
        <f t="shared" si="8"/>
        <v>0</v>
      </c>
      <c r="M17" s="138">
        <f t="shared" si="8"/>
        <v>0</v>
      </c>
      <c r="N17" s="138">
        <f t="shared" si="8"/>
        <v>0</v>
      </c>
      <c r="O17" s="138">
        <f t="shared" si="8"/>
        <v>0</v>
      </c>
      <c r="P17" s="138">
        <f t="shared" si="8"/>
        <v>692701</v>
      </c>
    </row>
    <row r="18" spans="1:16" s="102" customFormat="1" ht="21.75" customHeight="1">
      <c r="A18" s="161" t="s">
        <v>18</v>
      </c>
      <c r="B18" s="162"/>
      <c r="C18" s="163"/>
      <c r="D18" s="163"/>
      <c r="E18" s="163"/>
      <c r="F18" s="164">
        <f aca="true" t="shared" si="9" ref="F18:P18">F19+F20</f>
        <v>891983</v>
      </c>
      <c r="G18" s="164">
        <f t="shared" si="9"/>
        <v>242897</v>
      </c>
      <c r="H18" s="164">
        <f t="shared" si="9"/>
        <v>274615</v>
      </c>
      <c r="I18" s="164">
        <f t="shared" si="9"/>
        <v>274615</v>
      </c>
      <c r="J18" s="164">
        <f t="shared" si="9"/>
        <v>99856</v>
      </c>
      <c r="K18" s="164">
        <f t="shared" si="9"/>
        <v>0</v>
      </c>
      <c r="L18" s="164">
        <f t="shared" si="9"/>
        <v>0</v>
      </c>
      <c r="M18" s="164">
        <f t="shared" si="9"/>
        <v>0</v>
      </c>
      <c r="N18" s="164">
        <f t="shared" si="9"/>
        <v>0</v>
      </c>
      <c r="O18" s="164">
        <f t="shared" si="9"/>
        <v>0</v>
      </c>
      <c r="P18" s="164">
        <f t="shared" si="9"/>
        <v>0</v>
      </c>
    </row>
    <row r="19" spans="1:16" s="109" customFormat="1" ht="32.25" customHeight="1">
      <c r="A19" s="155" t="s">
        <v>33</v>
      </c>
      <c r="B19" s="156"/>
      <c r="C19" s="142" t="s">
        <v>22</v>
      </c>
      <c r="D19" s="143">
        <v>2011</v>
      </c>
      <c r="E19" s="143">
        <v>2013</v>
      </c>
      <c r="F19" s="144">
        <f>G19+H19+I19</f>
        <v>370968</v>
      </c>
      <c r="G19" s="144">
        <v>123656</v>
      </c>
      <c r="H19" s="145">
        <v>123656</v>
      </c>
      <c r="I19" s="144">
        <v>123656</v>
      </c>
      <c r="J19" s="144"/>
      <c r="K19" s="144"/>
      <c r="L19" s="143"/>
      <c r="M19" s="143"/>
      <c r="N19" s="143"/>
      <c r="O19" s="143"/>
      <c r="P19" s="111">
        <v>0</v>
      </c>
    </row>
    <row r="20" spans="1:16" s="109" customFormat="1" ht="32.25" customHeight="1">
      <c r="A20" s="155" t="s">
        <v>34</v>
      </c>
      <c r="B20" s="156"/>
      <c r="C20" s="142" t="s">
        <v>22</v>
      </c>
      <c r="D20" s="143">
        <v>2011</v>
      </c>
      <c r="E20" s="143">
        <v>2014</v>
      </c>
      <c r="F20" s="144">
        <f>G20+H20+I20+J20</f>
        <v>521015</v>
      </c>
      <c r="G20" s="144">
        <v>119241</v>
      </c>
      <c r="H20" s="145">
        <v>150959</v>
      </c>
      <c r="I20" s="144">
        <v>150959</v>
      </c>
      <c r="J20" s="144">
        <v>99856</v>
      </c>
      <c r="K20" s="144"/>
      <c r="L20" s="143"/>
      <c r="M20" s="143"/>
      <c r="N20" s="143"/>
      <c r="O20" s="143"/>
      <c r="P20" s="111">
        <v>0</v>
      </c>
    </row>
    <row r="21" spans="1:17" s="105" customFormat="1" ht="21" customHeight="1">
      <c r="A21" s="159" t="s">
        <v>19</v>
      </c>
      <c r="B21" s="160"/>
      <c r="C21" s="165"/>
      <c r="D21" s="165"/>
      <c r="E21" s="165"/>
      <c r="F21" s="139">
        <f aca="true" t="shared" si="10" ref="F21:Q21">SUM(F22:F22)</f>
        <v>1385402</v>
      </c>
      <c r="G21" s="139">
        <f t="shared" si="10"/>
        <v>4447427</v>
      </c>
      <c r="H21" s="139">
        <f t="shared" si="10"/>
        <v>692701</v>
      </c>
      <c r="I21" s="139">
        <f t="shared" si="10"/>
        <v>692701</v>
      </c>
      <c r="J21" s="139">
        <f t="shared" si="10"/>
        <v>0</v>
      </c>
      <c r="K21" s="139">
        <f t="shared" si="10"/>
        <v>0</v>
      </c>
      <c r="L21" s="139">
        <f t="shared" si="10"/>
        <v>0</v>
      </c>
      <c r="M21" s="139">
        <f t="shared" si="10"/>
        <v>0</v>
      </c>
      <c r="N21" s="139">
        <f t="shared" si="10"/>
        <v>0</v>
      </c>
      <c r="O21" s="139">
        <f t="shared" si="10"/>
        <v>0</v>
      </c>
      <c r="P21" s="139">
        <f t="shared" si="10"/>
        <v>692701</v>
      </c>
      <c r="Q21" s="106">
        <f t="shared" si="10"/>
        <v>0</v>
      </c>
    </row>
    <row r="22" spans="1:16" s="113" customFormat="1" ht="33" customHeight="1">
      <c r="A22" s="166" t="s">
        <v>126</v>
      </c>
      <c r="B22" s="167"/>
      <c r="C22" s="112" t="s">
        <v>22</v>
      </c>
      <c r="D22" s="168">
        <v>2012</v>
      </c>
      <c r="E22" s="168">
        <v>2013</v>
      </c>
      <c r="F22" s="169">
        <f>H22+I22</f>
        <v>1385402</v>
      </c>
      <c r="G22" s="169">
        <v>4447427</v>
      </c>
      <c r="H22" s="170">
        <v>692701</v>
      </c>
      <c r="I22" s="169">
        <v>692701</v>
      </c>
      <c r="J22" s="169"/>
      <c r="K22" s="169"/>
      <c r="L22" s="169"/>
      <c r="M22" s="169"/>
      <c r="N22" s="169"/>
      <c r="O22" s="168"/>
      <c r="P22" s="169">
        <f>H22</f>
        <v>692701</v>
      </c>
    </row>
    <row r="23" spans="1:16" s="113" customFormat="1" ht="31.5" customHeight="1" hidden="1">
      <c r="A23" s="114"/>
      <c r="B23" s="115"/>
      <c r="C23" s="116"/>
      <c r="D23" s="117"/>
      <c r="E23" s="117"/>
      <c r="F23" s="118"/>
      <c r="G23" s="119"/>
      <c r="H23" s="120"/>
      <c r="I23" s="119"/>
      <c r="J23" s="119"/>
      <c r="K23" s="119"/>
      <c r="L23" s="119"/>
      <c r="M23" s="119"/>
      <c r="N23" s="119"/>
      <c r="O23" s="121"/>
      <c r="P23" s="122"/>
    </row>
    <row r="24" spans="1:16" s="126" customFormat="1" ht="45" customHeight="1">
      <c r="A24" s="123" t="s">
        <v>25</v>
      </c>
      <c r="B24" s="124"/>
      <c r="C24" s="125"/>
      <c r="F24" s="92">
        <f aca="true" t="shared" si="11" ref="F24:P24">F25+F32</f>
        <v>5793150</v>
      </c>
      <c r="G24" s="92">
        <f t="shared" si="11"/>
        <v>2078588</v>
      </c>
      <c r="H24" s="92">
        <f t="shared" si="11"/>
        <v>1760539</v>
      </c>
      <c r="I24" s="92">
        <f t="shared" si="11"/>
        <v>1428048</v>
      </c>
      <c r="J24" s="92">
        <f t="shared" si="11"/>
        <v>475000</v>
      </c>
      <c r="K24" s="92">
        <f t="shared" si="11"/>
        <v>42000</v>
      </c>
      <c r="L24" s="92">
        <f t="shared" si="11"/>
        <v>0</v>
      </c>
      <c r="M24" s="92">
        <f t="shared" si="11"/>
        <v>0</v>
      </c>
      <c r="N24" s="92">
        <f t="shared" si="11"/>
        <v>0</v>
      </c>
      <c r="O24" s="92">
        <f t="shared" si="11"/>
        <v>0</v>
      </c>
      <c r="P24" s="92">
        <f t="shared" si="11"/>
        <v>0</v>
      </c>
    </row>
    <row r="25" spans="1:16" s="128" customFormat="1" ht="22.5" customHeight="1">
      <c r="A25" s="171" t="s">
        <v>18</v>
      </c>
      <c r="B25" s="172"/>
      <c r="C25" s="173"/>
      <c r="D25" s="173"/>
      <c r="E25" s="173"/>
      <c r="F25" s="174">
        <f aca="true" t="shared" si="12" ref="F25:P25">SUM(F26:F31)</f>
        <v>5793150</v>
      </c>
      <c r="G25" s="174">
        <f t="shared" si="12"/>
        <v>2078588</v>
      </c>
      <c r="H25" s="174">
        <f t="shared" si="12"/>
        <v>1760539</v>
      </c>
      <c r="I25" s="174">
        <f t="shared" si="12"/>
        <v>1428048</v>
      </c>
      <c r="J25" s="174">
        <f t="shared" si="12"/>
        <v>475000</v>
      </c>
      <c r="K25" s="174">
        <f t="shared" si="12"/>
        <v>42000</v>
      </c>
      <c r="L25" s="174">
        <f t="shared" si="12"/>
        <v>0</v>
      </c>
      <c r="M25" s="174">
        <f t="shared" si="12"/>
        <v>0</v>
      </c>
      <c r="N25" s="174">
        <f t="shared" si="12"/>
        <v>0</v>
      </c>
      <c r="O25" s="174">
        <f t="shared" si="12"/>
        <v>0</v>
      </c>
      <c r="P25" s="174">
        <f t="shared" si="12"/>
        <v>0</v>
      </c>
    </row>
    <row r="26" spans="1:16" s="109" customFormat="1" ht="27" customHeight="1">
      <c r="A26" s="155" t="s">
        <v>26</v>
      </c>
      <c r="B26" s="156"/>
      <c r="C26" s="142" t="s">
        <v>22</v>
      </c>
      <c r="D26" s="143">
        <v>2011</v>
      </c>
      <c r="E26" s="143">
        <v>2014</v>
      </c>
      <c r="F26" s="144">
        <f>G26+H26+I26+J26</f>
        <v>1558450</v>
      </c>
      <c r="G26" s="144">
        <v>637450</v>
      </c>
      <c r="H26" s="145">
        <v>307000</v>
      </c>
      <c r="I26" s="144">
        <v>307000</v>
      </c>
      <c r="J26" s="144">
        <v>307000</v>
      </c>
      <c r="K26" s="144"/>
      <c r="L26" s="143"/>
      <c r="M26" s="143"/>
      <c r="N26" s="143"/>
      <c r="O26" s="143"/>
      <c r="P26" s="111">
        <v>0</v>
      </c>
    </row>
    <row r="27" spans="1:16" s="109" customFormat="1" ht="28.5">
      <c r="A27" s="133" t="s">
        <v>27</v>
      </c>
      <c r="B27" s="134"/>
      <c r="C27" s="142" t="s">
        <v>22</v>
      </c>
      <c r="D27" s="143">
        <v>2011</v>
      </c>
      <c r="E27" s="143">
        <v>2015</v>
      </c>
      <c r="F27" s="144">
        <v>672000</v>
      </c>
      <c r="G27" s="144">
        <v>126000</v>
      </c>
      <c r="H27" s="145">
        <v>168000</v>
      </c>
      <c r="I27" s="144">
        <v>168000</v>
      </c>
      <c r="J27" s="144">
        <v>168000</v>
      </c>
      <c r="K27" s="144">
        <v>42000</v>
      </c>
      <c r="L27" s="143"/>
      <c r="M27" s="143"/>
      <c r="N27" s="143"/>
      <c r="O27" s="143"/>
      <c r="P27" s="111">
        <v>0</v>
      </c>
    </row>
    <row r="28" spans="1:16" s="109" customFormat="1" ht="28.5">
      <c r="A28" s="155" t="s">
        <v>35</v>
      </c>
      <c r="B28" s="156"/>
      <c r="C28" s="142" t="s">
        <v>22</v>
      </c>
      <c r="D28" s="143">
        <v>2010</v>
      </c>
      <c r="E28" s="143">
        <v>2013</v>
      </c>
      <c r="F28" s="144">
        <f>G28+H28+I28</f>
        <v>3437500</v>
      </c>
      <c r="G28" s="144">
        <v>1250000</v>
      </c>
      <c r="H28" s="145">
        <v>1250000</v>
      </c>
      <c r="I28" s="144">
        <v>937500</v>
      </c>
      <c r="J28" s="144"/>
      <c r="K28" s="144"/>
      <c r="L28" s="143"/>
      <c r="M28" s="143"/>
      <c r="N28" s="143"/>
      <c r="O28" s="143"/>
      <c r="P28" s="108">
        <v>0</v>
      </c>
    </row>
    <row r="29" spans="1:16" s="109" customFormat="1" ht="28.5">
      <c r="A29" s="175" t="s">
        <v>28</v>
      </c>
      <c r="B29" s="176"/>
      <c r="C29" s="142" t="s">
        <v>22</v>
      </c>
      <c r="D29" s="143">
        <v>2006</v>
      </c>
      <c r="E29" s="143">
        <v>2013</v>
      </c>
      <c r="F29" s="144">
        <v>115000</v>
      </c>
      <c r="G29" s="144">
        <v>61738</v>
      </c>
      <c r="H29" s="145">
        <v>32139</v>
      </c>
      <c r="I29" s="144">
        <v>12148</v>
      </c>
      <c r="J29" s="144"/>
      <c r="K29" s="144"/>
      <c r="L29" s="143"/>
      <c r="M29" s="143"/>
      <c r="N29" s="143"/>
      <c r="O29" s="143"/>
      <c r="P29" s="108">
        <v>0</v>
      </c>
    </row>
    <row r="30" spans="1:16" s="109" customFormat="1" ht="28.5">
      <c r="A30" s="175" t="s">
        <v>29</v>
      </c>
      <c r="B30" s="176"/>
      <c r="C30" s="142" t="s">
        <v>22</v>
      </c>
      <c r="D30" s="143">
        <v>2011</v>
      </c>
      <c r="E30" s="143">
        <v>2013</v>
      </c>
      <c r="F30" s="144">
        <f>SUM(G30:I30)</f>
        <v>3000</v>
      </c>
      <c r="G30" s="144">
        <v>1000</v>
      </c>
      <c r="H30" s="145">
        <v>1000</v>
      </c>
      <c r="I30" s="144">
        <v>1000</v>
      </c>
      <c r="J30" s="144"/>
      <c r="K30" s="144"/>
      <c r="L30" s="143"/>
      <c r="M30" s="143"/>
      <c r="N30" s="143"/>
      <c r="O30" s="143"/>
      <c r="P30" s="108">
        <v>0</v>
      </c>
    </row>
    <row r="31" spans="1:16" s="109" customFormat="1" ht="28.5">
      <c r="A31" s="175" t="s">
        <v>30</v>
      </c>
      <c r="B31" s="176"/>
      <c r="C31" s="142" t="s">
        <v>22</v>
      </c>
      <c r="D31" s="143">
        <v>2011</v>
      </c>
      <c r="E31" s="143">
        <v>2013</v>
      </c>
      <c r="F31" s="144">
        <f>SUM(G31:I31)</f>
        <v>7200</v>
      </c>
      <c r="G31" s="144">
        <v>2400</v>
      </c>
      <c r="H31" s="145">
        <v>2400</v>
      </c>
      <c r="I31" s="144">
        <v>2400</v>
      </c>
      <c r="J31" s="144"/>
      <c r="K31" s="144"/>
      <c r="L31" s="143"/>
      <c r="M31" s="143"/>
      <c r="N31" s="143"/>
      <c r="O31" s="143"/>
      <c r="P31" s="108">
        <v>0</v>
      </c>
    </row>
    <row r="32" spans="1:16" s="130" customFormat="1" ht="19.5" customHeight="1">
      <c r="A32" s="177" t="s">
        <v>19</v>
      </c>
      <c r="B32" s="178"/>
      <c r="C32" s="179"/>
      <c r="D32" s="179"/>
      <c r="E32" s="179"/>
      <c r="F32" s="180"/>
      <c r="G32" s="180"/>
      <c r="H32" s="180"/>
      <c r="I32" s="180"/>
      <c r="J32" s="180"/>
      <c r="K32" s="180"/>
      <c r="L32" s="179"/>
      <c r="M32" s="179"/>
      <c r="N32" s="179"/>
      <c r="O32" s="179"/>
      <c r="P32" s="139">
        <f>SUM(G32:O32)</f>
        <v>0</v>
      </c>
    </row>
    <row r="33" spans="1:16" s="91" customFormat="1" ht="27.75" customHeight="1">
      <c r="A33" s="123" t="s">
        <v>31</v>
      </c>
      <c r="B33" s="124"/>
      <c r="C33" s="125"/>
      <c r="F33" s="127">
        <f aca="true" t="shared" si="13" ref="F33:O34">F34</f>
        <v>5178240</v>
      </c>
      <c r="G33" s="127">
        <f t="shared" si="13"/>
        <v>417759</v>
      </c>
      <c r="H33" s="131">
        <f t="shared" si="13"/>
        <v>666400</v>
      </c>
      <c r="I33" s="127">
        <f t="shared" si="13"/>
        <v>658499</v>
      </c>
      <c r="J33" s="127">
        <f t="shared" si="13"/>
        <v>650598</v>
      </c>
      <c r="K33" s="127">
        <f t="shared" si="13"/>
        <v>541396</v>
      </c>
      <c r="L33" s="127">
        <f t="shared" si="13"/>
        <v>636112</v>
      </c>
      <c r="M33" s="127">
        <f t="shared" si="13"/>
        <v>628211</v>
      </c>
      <c r="N33" s="127">
        <f t="shared" si="13"/>
        <v>620310</v>
      </c>
      <c r="O33" s="127">
        <f t="shared" si="13"/>
        <v>358955</v>
      </c>
      <c r="P33" s="110">
        <v>0</v>
      </c>
    </row>
    <row r="34" spans="1:17" s="128" customFormat="1" ht="18" customHeight="1">
      <c r="A34" s="93" t="s">
        <v>18</v>
      </c>
      <c r="B34" s="181"/>
      <c r="C34" s="173"/>
      <c r="D34" s="173"/>
      <c r="E34" s="173"/>
      <c r="F34" s="174">
        <f t="shared" si="13"/>
        <v>5178240</v>
      </c>
      <c r="G34" s="174">
        <f t="shared" si="13"/>
        <v>417759</v>
      </c>
      <c r="H34" s="174">
        <f t="shared" si="13"/>
        <v>666400</v>
      </c>
      <c r="I34" s="174">
        <f t="shared" si="13"/>
        <v>658499</v>
      </c>
      <c r="J34" s="174">
        <f t="shared" si="13"/>
        <v>650598</v>
      </c>
      <c r="K34" s="174">
        <f t="shared" si="13"/>
        <v>541396</v>
      </c>
      <c r="L34" s="174">
        <f t="shared" si="13"/>
        <v>636112</v>
      </c>
      <c r="M34" s="174">
        <f t="shared" si="13"/>
        <v>628211</v>
      </c>
      <c r="N34" s="174">
        <f t="shared" si="13"/>
        <v>620310</v>
      </c>
      <c r="O34" s="174">
        <f t="shared" si="13"/>
        <v>358955</v>
      </c>
      <c r="P34" s="164">
        <v>0</v>
      </c>
      <c r="Q34" s="129">
        <f>Q35</f>
        <v>0</v>
      </c>
    </row>
    <row r="35" spans="1:16" ht="38.25" customHeight="1">
      <c r="A35" s="146" t="s">
        <v>32</v>
      </c>
      <c r="B35" s="148"/>
      <c r="C35" s="182" t="s">
        <v>22</v>
      </c>
      <c r="D35" s="153">
        <v>2011</v>
      </c>
      <c r="E35" s="153">
        <v>2019</v>
      </c>
      <c r="F35" s="138">
        <f>SUM(G35:O35)</f>
        <v>5178240</v>
      </c>
      <c r="G35" s="138">
        <v>417759</v>
      </c>
      <c r="H35" s="145">
        <v>666400</v>
      </c>
      <c r="I35" s="138">
        <v>658499</v>
      </c>
      <c r="J35" s="138">
        <v>650598</v>
      </c>
      <c r="K35" s="138">
        <v>541396</v>
      </c>
      <c r="L35" s="153">
        <v>636112</v>
      </c>
      <c r="M35" s="153">
        <v>628211</v>
      </c>
      <c r="N35" s="138">
        <v>620310</v>
      </c>
      <c r="O35" s="138">
        <v>358955</v>
      </c>
      <c r="P35" s="110">
        <v>0</v>
      </c>
    </row>
    <row r="36" spans="7:11" ht="15">
      <c r="G36" s="101"/>
      <c r="H36" s="107"/>
      <c r="I36" s="101"/>
      <c r="J36" s="101"/>
      <c r="K36" s="101"/>
    </row>
    <row r="37" spans="7:11" ht="15">
      <c r="G37" s="101"/>
      <c r="H37" s="107"/>
      <c r="I37" s="101"/>
      <c r="J37" s="101"/>
      <c r="K37" s="101"/>
    </row>
    <row r="38" spans="7:11" ht="15">
      <c r="G38" s="101"/>
      <c r="H38" s="107"/>
      <c r="I38" s="101"/>
      <c r="J38" s="101"/>
      <c r="K38" s="101"/>
    </row>
    <row r="39" spans="7:11" ht="15">
      <c r="G39" s="101"/>
      <c r="H39" s="107"/>
      <c r="I39" s="101"/>
      <c r="J39" s="101"/>
      <c r="K39" s="101"/>
    </row>
    <row r="40" spans="7:11" ht="15">
      <c r="G40" s="101"/>
      <c r="H40" s="107"/>
      <c r="I40" s="101"/>
      <c r="J40" s="101"/>
      <c r="K40" s="101"/>
    </row>
    <row r="41" spans="7:11" ht="15">
      <c r="G41" s="101"/>
      <c r="H41" s="107"/>
      <c r="I41" s="101"/>
      <c r="J41" s="101"/>
      <c r="K41" s="101"/>
    </row>
    <row r="42" spans="7:11" ht="15">
      <c r="G42" s="101"/>
      <c r="H42" s="107"/>
      <c r="I42" s="101"/>
      <c r="J42" s="101"/>
      <c r="K42" s="101"/>
    </row>
    <row r="43" spans="7:11" ht="15">
      <c r="G43" s="101"/>
      <c r="H43" s="107"/>
      <c r="I43" s="101"/>
      <c r="J43" s="101"/>
      <c r="K43" s="101"/>
    </row>
    <row r="44" spans="7:11" ht="15">
      <c r="G44" s="101"/>
      <c r="H44" s="107"/>
      <c r="I44" s="101"/>
      <c r="J44" s="101"/>
      <c r="K44" s="101"/>
    </row>
    <row r="45" spans="7:11" ht="15">
      <c r="G45" s="101"/>
      <c r="H45" s="107"/>
      <c r="I45" s="101"/>
      <c r="J45" s="101"/>
      <c r="K45" s="101"/>
    </row>
    <row r="46" spans="7:11" ht="15">
      <c r="G46" s="101"/>
      <c r="H46" s="107"/>
      <c r="I46" s="101"/>
      <c r="J46" s="101"/>
      <c r="K46" s="101"/>
    </row>
    <row r="47" spans="7:11" ht="15">
      <c r="G47" s="101"/>
      <c r="H47" s="107"/>
      <c r="I47" s="101"/>
      <c r="J47" s="101"/>
      <c r="K47" s="101"/>
    </row>
    <row r="48" spans="7:11" ht="15">
      <c r="G48" s="101"/>
      <c r="H48" s="107"/>
      <c r="I48" s="101"/>
      <c r="J48" s="101"/>
      <c r="K48" s="101"/>
    </row>
    <row r="49" spans="7:11" ht="15">
      <c r="G49" s="101"/>
      <c r="H49" s="107"/>
      <c r="I49" s="101"/>
      <c r="J49" s="101"/>
      <c r="K49" s="101"/>
    </row>
    <row r="50" spans="7:11" ht="15">
      <c r="G50" s="101"/>
      <c r="H50" s="107"/>
      <c r="I50" s="101"/>
      <c r="J50" s="101"/>
      <c r="K50" s="101"/>
    </row>
    <row r="51" spans="7:11" ht="15">
      <c r="G51" s="101"/>
      <c r="H51" s="107"/>
      <c r="I51" s="101"/>
      <c r="J51" s="101"/>
      <c r="K51" s="101"/>
    </row>
    <row r="52" spans="7:11" ht="15">
      <c r="G52" s="101"/>
      <c r="H52" s="107"/>
      <c r="I52" s="101"/>
      <c r="J52" s="101"/>
      <c r="K52" s="101"/>
    </row>
    <row r="53" spans="7:11" ht="15">
      <c r="G53" s="101"/>
      <c r="H53" s="107"/>
      <c r="I53" s="101"/>
      <c r="J53" s="101"/>
      <c r="K53" s="101"/>
    </row>
    <row r="54" spans="7:11" ht="15">
      <c r="G54" s="101"/>
      <c r="H54" s="107"/>
      <c r="I54" s="101"/>
      <c r="J54" s="101"/>
      <c r="K54" s="101"/>
    </row>
    <row r="55" spans="7:11" ht="15">
      <c r="G55" s="101"/>
      <c r="H55" s="107"/>
      <c r="I55" s="101"/>
      <c r="J55" s="101"/>
      <c r="K55" s="101"/>
    </row>
    <row r="56" spans="7:11" ht="15">
      <c r="G56" s="101"/>
      <c r="H56" s="107"/>
      <c r="I56" s="101"/>
      <c r="J56" s="101"/>
      <c r="K56" s="101"/>
    </row>
    <row r="57" spans="7:11" ht="15">
      <c r="G57" s="101"/>
      <c r="H57" s="107"/>
      <c r="I57" s="101"/>
      <c r="J57" s="101"/>
      <c r="K57" s="101"/>
    </row>
    <row r="58" spans="7:11" ht="15">
      <c r="G58" s="101"/>
      <c r="H58" s="107"/>
      <c r="I58" s="101"/>
      <c r="J58" s="101"/>
      <c r="K58" s="101"/>
    </row>
    <row r="59" spans="7:11" ht="15">
      <c r="G59" s="101"/>
      <c r="H59" s="107"/>
      <c r="I59" s="101"/>
      <c r="J59" s="101"/>
      <c r="K59" s="101"/>
    </row>
    <row r="60" spans="7:11" ht="15">
      <c r="G60" s="101"/>
      <c r="H60" s="107"/>
      <c r="I60" s="101"/>
      <c r="J60" s="101"/>
      <c r="K60" s="101"/>
    </row>
    <row r="61" spans="7:11" ht="15">
      <c r="G61" s="101"/>
      <c r="H61" s="107"/>
      <c r="I61" s="101"/>
      <c r="J61" s="101"/>
      <c r="K61" s="101"/>
    </row>
    <row r="62" spans="7:11" ht="15">
      <c r="G62" s="101"/>
      <c r="H62" s="107"/>
      <c r="I62" s="101"/>
      <c r="J62" s="101"/>
      <c r="K62" s="101"/>
    </row>
    <row r="63" spans="7:11" ht="15">
      <c r="G63" s="101"/>
      <c r="H63" s="107"/>
      <c r="I63" s="101"/>
      <c r="J63" s="101"/>
      <c r="K63" s="101"/>
    </row>
    <row r="64" spans="7:11" ht="15">
      <c r="G64" s="101"/>
      <c r="H64" s="107"/>
      <c r="I64" s="101"/>
      <c r="J64" s="101"/>
      <c r="K64" s="101"/>
    </row>
    <row r="65" spans="7:11" ht="15">
      <c r="G65" s="101"/>
      <c r="H65" s="107"/>
      <c r="I65" s="101"/>
      <c r="J65" s="101"/>
      <c r="K65" s="101"/>
    </row>
    <row r="66" spans="7:11" ht="15">
      <c r="G66" s="101"/>
      <c r="H66" s="107"/>
      <c r="I66" s="101"/>
      <c r="J66" s="101"/>
      <c r="K66" s="101"/>
    </row>
    <row r="67" spans="7:11" ht="15">
      <c r="G67" s="101"/>
      <c r="H67" s="107"/>
      <c r="I67" s="101"/>
      <c r="J67" s="101"/>
      <c r="K67" s="101"/>
    </row>
    <row r="68" spans="7:11" ht="15">
      <c r="G68" s="101"/>
      <c r="H68" s="107"/>
      <c r="I68" s="101"/>
      <c r="J68" s="101"/>
      <c r="K68" s="101"/>
    </row>
    <row r="69" spans="7:11" ht="15">
      <c r="G69" s="101"/>
      <c r="H69" s="107"/>
      <c r="I69" s="101"/>
      <c r="J69" s="101"/>
      <c r="K69" s="101"/>
    </row>
    <row r="70" spans="7:11" ht="15">
      <c r="G70" s="101"/>
      <c r="H70" s="107"/>
      <c r="I70" s="101"/>
      <c r="J70" s="101"/>
      <c r="K70" s="101"/>
    </row>
    <row r="71" spans="7:11" ht="15">
      <c r="G71" s="101"/>
      <c r="H71" s="107"/>
      <c r="I71" s="101"/>
      <c r="J71" s="101"/>
      <c r="K71" s="101"/>
    </row>
    <row r="72" spans="7:11" ht="15">
      <c r="G72" s="101"/>
      <c r="H72" s="107"/>
      <c r="I72" s="101"/>
      <c r="J72" s="101"/>
      <c r="K72" s="101"/>
    </row>
    <row r="73" spans="7:11" ht="15">
      <c r="G73" s="101"/>
      <c r="H73" s="107"/>
      <c r="I73" s="101"/>
      <c r="J73" s="101"/>
      <c r="K73" s="101"/>
    </row>
    <row r="74" spans="7:11" ht="15">
      <c r="G74" s="101"/>
      <c r="H74" s="107"/>
      <c r="I74" s="101"/>
      <c r="J74" s="101"/>
      <c r="K74" s="101"/>
    </row>
    <row r="75" spans="7:11" ht="15">
      <c r="G75" s="101"/>
      <c r="H75" s="107"/>
      <c r="I75" s="101"/>
      <c r="J75" s="101"/>
      <c r="K75" s="101"/>
    </row>
    <row r="76" spans="7:11" ht="15">
      <c r="G76" s="101"/>
      <c r="H76" s="107"/>
      <c r="I76" s="101"/>
      <c r="J76" s="101"/>
      <c r="K76" s="101"/>
    </row>
    <row r="77" spans="7:11" ht="15">
      <c r="G77" s="101"/>
      <c r="H77" s="107"/>
      <c r="I77" s="101"/>
      <c r="J77" s="101"/>
      <c r="K77" s="101"/>
    </row>
    <row r="78" spans="7:11" ht="15">
      <c r="G78" s="101"/>
      <c r="H78" s="107"/>
      <c r="I78" s="101"/>
      <c r="J78" s="101"/>
      <c r="K78" s="101"/>
    </row>
    <row r="79" spans="7:11" ht="15">
      <c r="G79" s="101"/>
      <c r="H79" s="107"/>
      <c r="I79" s="101"/>
      <c r="J79" s="101"/>
      <c r="K79" s="101"/>
    </row>
    <row r="80" spans="7:11" ht="15">
      <c r="G80" s="101"/>
      <c r="H80" s="107"/>
      <c r="I80" s="101"/>
      <c r="J80" s="101"/>
      <c r="K80" s="101"/>
    </row>
    <row r="81" spans="7:11" ht="15">
      <c r="G81" s="101"/>
      <c r="H81" s="107"/>
      <c r="I81" s="101"/>
      <c r="J81" s="101"/>
      <c r="K81" s="101"/>
    </row>
    <row r="82" spans="7:11" ht="15">
      <c r="G82" s="101"/>
      <c r="H82" s="107"/>
      <c r="I82" s="101"/>
      <c r="J82" s="101"/>
      <c r="K82" s="101"/>
    </row>
    <row r="83" spans="7:11" ht="15">
      <c r="G83" s="101"/>
      <c r="H83" s="107"/>
      <c r="I83" s="101"/>
      <c r="J83" s="101"/>
      <c r="K83" s="101"/>
    </row>
    <row r="84" spans="7:11" ht="15">
      <c r="G84" s="101"/>
      <c r="H84" s="107"/>
      <c r="I84" s="101"/>
      <c r="J84" s="101"/>
      <c r="K84" s="101"/>
    </row>
    <row r="85" spans="7:11" ht="15">
      <c r="G85" s="101"/>
      <c r="H85" s="107"/>
      <c r="I85" s="101"/>
      <c r="J85" s="101"/>
      <c r="K85" s="101"/>
    </row>
    <row r="86" spans="7:11" ht="15">
      <c r="G86" s="101"/>
      <c r="H86" s="107"/>
      <c r="I86" s="101"/>
      <c r="J86" s="101"/>
      <c r="K86" s="101"/>
    </row>
    <row r="87" spans="7:11" ht="15">
      <c r="G87" s="101"/>
      <c r="H87" s="107"/>
      <c r="I87" s="101"/>
      <c r="J87" s="101"/>
      <c r="K87" s="101"/>
    </row>
    <row r="88" spans="7:11" ht="15">
      <c r="G88" s="101"/>
      <c r="H88" s="107"/>
      <c r="I88" s="101"/>
      <c r="J88" s="101"/>
      <c r="K88" s="101"/>
    </row>
    <row r="89" spans="7:11" ht="15">
      <c r="G89" s="101"/>
      <c r="H89" s="107"/>
      <c r="I89" s="101"/>
      <c r="J89" s="101"/>
      <c r="K89" s="101"/>
    </row>
    <row r="90" spans="7:11" ht="15">
      <c r="G90" s="101"/>
      <c r="H90" s="107"/>
      <c r="I90" s="101"/>
      <c r="J90" s="101"/>
      <c r="K90" s="101"/>
    </row>
    <row r="91" spans="7:11" ht="15">
      <c r="G91" s="101"/>
      <c r="H91" s="107"/>
      <c r="I91" s="101"/>
      <c r="J91" s="101"/>
      <c r="K91" s="101"/>
    </row>
    <row r="92" spans="7:11" ht="15">
      <c r="G92" s="101"/>
      <c r="H92" s="107"/>
      <c r="I92" s="101"/>
      <c r="J92" s="101"/>
      <c r="K92" s="101"/>
    </row>
    <row r="93" spans="7:11" ht="15">
      <c r="G93" s="101"/>
      <c r="H93" s="107"/>
      <c r="I93" s="101"/>
      <c r="J93" s="101"/>
      <c r="K93" s="101"/>
    </row>
    <row r="94" spans="7:11" ht="15">
      <c r="G94" s="101"/>
      <c r="H94" s="107"/>
      <c r="I94" s="101"/>
      <c r="J94" s="101"/>
      <c r="K94" s="101"/>
    </row>
    <row r="95" spans="7:11" ht="15">
      <c r="G95" s="101"/>
      <c r="H95" s="107"/>
      <c r="I95" s="101"/>
      <c r="J95" s="101"/>
      <c r="K95" s="101"/>
    </row>
    <row r="96" spans="7:11" ht="15">
      <c r="G96" s="101"/>
      <c r="H96" s="107"/>
      <c r="I96" s="101"/>
      <c r="J96" s="101"/>
      <c r="K96" s="101"/>
    </row>
    <row r="97" spans="7:11" ht="15">
      <c r="G97" s="101"/>
      <c r="H97" s="107"/>
      <c r="I97" s="101"/>
      <c r="J97" s="101"/>
      <c r="K97" s="101"/>
    </row>
    <row r="98" spans="7:11" ht="15">
      <c r="G98" s="101"/>
      <c r="H98" s="107"/>
      <c r="I98" s="101"/>
      <c r="J98" s="101"/>
      <c r="K98" s="101"/>
    </row>
    <row r="99" spans="7:11" ht="15">
      <c r="G99" s="101"/>
      <c r="H99" s="107"/>
      <c r="I99" s="101"/>
      <c r="J99" s="101"/>
      <c r="K99" s="101"/>
    </row>
    <row r="100" spans="7:11" ht="15">
      <c r="G100" s="101"/>
      <c r="H100" s="107"/>
      <c r="I100" s="101"/>
      <c r="J100" s="101"/>
      <c r="K100" s="101"/>
    </row>
    <row r="101" spans="7:11" ht="15">
      <c r="G101" s="101"/>
      <c r="H101" s="107"/>
      <c r="I101" s="101"/>
      <c r="J101" s="101"/>
      <c r="K101" s="101"/>
    </row>
  </sheetData>
  <sheetProtection/>
  <mergeCells count="41">
    <mergeCell ref="A35:B35"/>
    <mergeCell ref="A26:B26"/>
    <mergeCell ref="A28:B28"/>
    <mergeCell ref="A32:B32"/>
    <mergeCell ref="A33:C33"/>
    <mergeCell ref="A27:B27"/>
    <mergeCell ref="A29:B29"/>
    <mergeCell ref="A30:B30"/>
    <mergeCell ref="A31:B31"/>
    <mergeCell ref="A25:B25"/>
    <mergeCell ref="A20:B20"/>
    <mergeCell ref="A21:B21"/>
    <mergeCell ref="A23:B23"/>
    <mergeCell ref="A22:B22"/>
    <mergeCell ref="A17:B17"/>
    <mergeCell ref="A18:B18"/>
    <mergeCell ref="A19:B19"/>
    <mergeCell ref="A24:C24"/>
    <mergeCell ref="A14:B14"/>
    <mergeCell ref="K2:K3"/>
    <mergeCell ref="A15:B15"/>
    <mergeCell ref="A16:B16"/>
    <mergeCell ref="A7:C7"/>
    <mergeCell ref="P2:P3"/>
    <mergeCell ref="A10:C10"/>
    <mergeCell ref="A12:B12"/>
    <mergeCell ref="A13:B13"/>
    <mergeCell ref="L2:L3"/>
    <mergeCell ref="M2:M3"/>
    <mergeCell ref="N2:N3"/>
    <mergeCell ref="O2:O3"/>
    <mergeCell ref="A1:M1"/>
    <mergeCell ref="N1:P1"/>
    <mergeCell ref="A2:B3"/>
    <mergeCell ref="C2:C3"/>
    <mergeCell ref="D2:E2"/>
    <mergeCell ref="F2:F3"/>
    <mergeCell ref="G2:G3"/>
    <mergeCell ref="H2:H3"/>
    <mergeCell ref="I2:I3"/>
    <mergeCell ref="J2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jwisniewski</cp:lastModifiedBy>
  <cp:lastPrinted>2011-11-15T12:04:50Z</cp:lastPrinted>
  <dcterms:created xsi:type="dcterms:W3CDTF">2011-10-07T10:02:10Z</dcterms:created>
  <dcterms:modified xsi:type="dcterms:W3CDTF">2011-11-15T13:17:50Z</dcterms:modified>
  <cp:category/>
  <cp:version/>
  <cp:contentType/>
  <cp:contentStatus/>
</cp:coreProperties>
</file>