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Wieloletnia Prognoza Finansowa" sheetId="1" r:id="rId1"/>
  </sheets>
  <definedNames>
    <definedName name="_xlnm.Print_Area" localSheetId="0">'Wieloletnia Prognoza Finansowa'!$A$2:$V$61</definedName>
    <definedName name="_xlnm.Print_Titles" localSheetId="0">'Wieloletnia Prognoza Finansowa'!$A:$B,'Wieloletnia Prognoza Finansowa'!$4:$4</definedName>
  </definedNames>
  <calcPr fullCalcOnLoad="1"/>
</workbook>
</file>

<file path=xl/sharedStrings.xml><?xml version="1.0" encoding="utf-8"?>
<sst xmlns="http://schemas.openxmlformats.org/spreadsheetml/2006/main" count="98" uniqueCount="98">
  <si>
    <t xml:space="preserve">WIELOLETNIA PROGNOZA FINANSOWA POWIATU CIESZYŃSKIEGO </t>
  </si>
  <si>
    <t>załącznik nr 1</t>
  </si>
  <si>
    <t>Lp</t>
  </si>
  <si>
    <t>Wyszczegolnienie</t>
  </si>
  <si>
    <t>Wykonanie 2008</t>
  </si>
  <si>
    <t>Wykonanie 2009</t>
  </si>
  <si>
    <t>Wykonanie 2010</t>
  </si>
  <si>
    <t>Wykonanie 2011</t>
  </si>
  <si>
    <t>Plan 3 kw. 2012</t>
  </si>
  <si>
    <t>Plan 
2013</t>
  </si>
  <si>
    <t>Prognoza 2014</t>
  </si>
  <si>
    <t>Prognoza 2015</t>
  </si>
  <si>
    <t>Prognoza 
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</si>
  <si>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</si>
  <si>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</si>
  <si>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</si>
  <si>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</si>
  <si>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</si>
  <si>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</si>
  <si>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</si>
  <si>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</si>
  <si>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Prognoza 2025</t>
  </si>
  <si>
    <t>Prognoza 2026</t>
  </si>
  <si>
    <t>Prognoza 2027</t>
  </si>
  <si>
    <t>CZĘŚĆ I - tabelaryczna</t>
  </si>
  <si>
    <t>Dochody ogółem, z tego:</t>
  </si>
  <si>
    <t>1a</t>
  </si>
  <si>
    <t>dochody bieżące</t>
  </si>
  <si>
    <t>1b</t>
  </si>
  <si>
    <t>dochody majątkowe, w tym:</t>
  </si>
  <si>
    <t>1c</t>
  </si>
  <si>
    <t>ze sprzedaży majątku</t>
  </si>
  <si>
    <t>Wydatki bieżące (bez odsetek i prowizji od: kredytów i pożyczek oraz wyemitowanych papierów wartościowych), w tym:</t>
  </si>
  <si>
    <t>2a</t>
  </si>
  <si>
    <t>wynagrodzenia i składki od nich naliczane</t>
  </si>
  <si>
    <t>2b</t>
  </si>
  <si>
    <t>związane z funkcjonowaniem jst</t>
  </si>
  <si>
    <t>2c</t>
  </si>
  <si>
    <t>z tytułu gwarancji i poręczeń, w tym:</t>
  </si>
  <si>
    <t>2d</t>
  </si>
  <si>
    <t>gwarancje i poręczenia podlegające wyłączeniu z limitów spłaty zobowązań z art.243 ufp/169 sufp</t>
  </si>
  <si>
    <t>2e</t>
  </si>
  <si>
    <t>wydatki bieżące objęte limitem art.226 ust.4 ufp (przedsięwzięcia WPF)</t>
  </si>
  <si>
    <t>Różnica (1 - 2)</t>
  </si>
  <si>
    <t>Nadwyżka budżetowa z lat ubiegłych plus wolne środki, zgodnie z art. 217 ufp, w tym:</t>
  </si>
  <si>
    <t>4a</t>
  </si>
  <si>
    <t>nadwyżka budżetowa z lat ubiegłych plus wolne środki, zgodnie z art. 217 ufp, angażowane na pokrycie deficytu budżetu roku bieżącego</t>
  </si>
  <si>
    <t>Inne przychody nie związane z zaciągnięciem długu</t>
  </si>
  <si>
    <t>Środki do dyspozycji (3+4+5)</t>
  </si>
  <si>
    <t>Spłata i obsługa długu, 
z tego:</t>
  </si>
  <si>
    <t>7a</t>
  </si>
  <si>
    <t>rozchody z tytułu spłaty rat kapitałowych oraz wykupu papierów wartościowych</t>
  </si>
  <si>
    <t>7b</t>
  </si>
  <si>
    <t>wydatki na obsługę długu</t>
  </si>
  <si>
    <t>Inne rozchody (bez spłaty długu np. udzielane pożyczki)</t>
  </si>
  <si>
    <t>Środki do dyspozycji (6 -7- 8)</t>
  </si>
  <si>
    <t>Wydatki majątkowe, 
w tym:</t>
  </si>
  <si>
    <t>10a</t>
  </si>
  <si>
    <t>wydatki majątkowe objęte limitem art.226 ust.4 ufp (przedsięwzięcia WPF)</t>
  </si>
  <si>
    <t>Przychody (kredyty, pożyczki, emisje obligacji), w tym</t>
  </si>
  <si>
    <t>11a</t>
  </si>
  <si>
    <t xml:space="preserve"> na pokrycie deficytu budzetu</t>
  </si>
  <si>
    <t>Rozliczenie budżetu 
(9 -10 + 11)</t>
  </si>
  <si>
    <t>CZĘŚĆ II - 
Prognoza kwoty długu</t>
  </si>
  <si>
    <t>Kwota długu</t>
  </si>
  <si>
    <t>13a</t>
  </si>
  <si>
    <t>łączna kwota wyłączeń z art.243 ust.3 pkt 1 ufp oraz art.170 ust.3 sufp</t>
  </si>
  <si>
    <t>13b</t>
  </si>
  <si>
    <t>kwota wyłączeń z art.243 ust.3 pkt 1 ufp oraz art.170 ust.3 sufp przypadającej na dany rok budżetowy</t>
  </si>
  <si>
    <t>Kwoty zobowiązań związku współtworzonego przez jst przypadających do spłaty w danym roku budżetowym podlegająca doliczeniu zgodnie z art..244 ufp</t>
  </si>
  <si>
    <t>Planowana łączna kwota spłaty zobowiązań [(7a+7b+ 2c- 13a)/1]</t>
  </si>
  <si>
    <t>Planowana łączna kwota spłaty zobowiązań z wyłączeniem unijnych (art..243 ust.3)[(7a+7b+ 2c-13a)/1]</t>
  </si>
  <si>
    <t>Maksymalny dopuszczalny wskaźnik spłaty z art..243 ufp (prawa strona wzoru dla 1 roku)[(1a+1c-19)/1]</t>
  </si>
  <si>
    <t>15a</t>
  </si>
  <si>
    <t xml:space="preserve">Maksymalny dopuszczalny wskaźnik spłaty z art..243 ufp (prawa strona wzoru tj. średnia dla 3 lat) </t>
  </si>
  <si>
    <t xml:space="preserve">średnia z 3 lat (prawa strona wzoru tj. średnia dla 3 lat) </t>
  </si>
  <si>
    <t>Spełnienie wskaźnika spłaty z art. 243 ufp po uwzględnieniu art.244 ufp</t>
  </si>
  <si>
    <t>łączna kwota wyłączeń z art.243 ust.3 pkt 1 ufp oraz art.169 ust.3 sufp</t>
  </si>
  <si>
    <t>Planowana łączna kwota spłaty zobowiązań do dochodów ogółem - max 15% z art. 169 sufp (bez wyłączeń)</t>
  </si>
  <si>
    <t>Spełnienie wskaźnika spłaty z art.169 sufp</t>
  </si>
  <si>
    <t>18a</t>
  </si>
  <si>
    <t>Planowana łączna kwota spłaty zobowiązań do dochodów ogółem - max 15% z art. 169 sufp (po uwzglednieniu  wyłączeń)</t>
  </si>
  <si>
    <t>Zadłużenie / dochody ogółem                                 [(13-13a):1]-max 60% z art..170 sufp</t>
  </si>
  <si>
    <t>Wydatki bieżące razem (2+7b)</t>
  </si>
  <si>
    <t>Wydatki ogółem (10 + 20)</t>
  </si>
  <si>
    <t>Wynik budżetu (1- 21) (nadwyżka/deficyt)</t>
  </si>
  <si>
    <t>Przychody budżetu (4+ 5+11)</t>
  </si>
  <si>
    <t>Rozchody budżetu (7a + 8)</t>
  </si>
  <si>
    <t>Ograniczenie z art..242 (1a-19)(Db-Wb&gt;0)</t>
  </si>
  <si>
    <t>Ograniczenie z art..242ust.3 (1a+4-19)(Db+WŚ-Wb&gt;0)</t>
  </si>
  <si>
    <t>Dochody bieżące-wydatki bieżące&gt;0 (1a-19)</t>
  </si>
  <si>
    <t>Przeznaczenie nadwyżki:</t>
  </si>
  <si>
    <t>spłata długu</t>
  </si>
  <si>
    <t>sfinansowanie deficytu</t>
  </si>
  <si>
    <t>Sposób sfinansowania spłaty długu:</t>
  </si>
  <si>
    <t xml:space="preserve">z dochodów własnych </t>
  </si>
  <si>
    <t>z kredytów</t>
  </si>
  <si>
    <t>z pożyczek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</si>
</sst>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000"/>
    <numFmt numFmtId="166" formatCode="0.0"/>
    <numFmt numFmtId="167" formatCode="#,##0.0"/>
    <numFmt numFmtId="168" formatCode="#,##0_ ;\-#,##0\ "/>
    <numFmt numFmtId="169" formatCode="#,##0\ _z_ł"/>
  </numFmts>
  <fonts count="2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name val="Arial CE"/>
      <family val="0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14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3" fontId="20" fillId="0" borderId="10" xfId="0" applyNumberFormat="1" applyFont="1" applyFill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4" fontId="20" fillId="0" borderId="11" xfId="0" applyNumberFormat="1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Border="1" applyAlignment="1">
      <alignment vertical="top" wrapText="1"/>
    </xf>
    <xf numFmtId="3" fontId="20" fillId="0" borderId="10" xfId="0" applyNumberFormat="1" applyFont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0" fillId="0" borderId="11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center" vertical="top"/>
    </xf>
    <xf numFmtId="0" fontId="21" fillId="0" borderId="10" xfId="0" applyFont="1" applyBorder="1" applyAlignment="1">
      <alignment vertical="top" wrapText="1"/>
    </xf>
    <xf numFmtId="3" fontId="21" fillId="0" borderId="10" xfId="0" applyNumberFormat="1" applyFont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21" fillId="0" borderId="11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Fill="1" applyBorder="1" applyAlignment="1">
      <alignment vertical="top" wrapText="1"/>
    </xf>
    <xf numFmtId="3" fontId="21" fillId="0" borderId="11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1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top" wrapText="1"/>
    </xf>
    <xf numFmtId="3" fontId="20" fillId="0" borderId="11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4" fontId="21" fillId="0" borderId="10" xfId="0" applyNumberFormat="1" applyFont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21" fillId="0" borderId="11" xfId="0" applyNumberFormat="1" applyFont="1" applyBorder="1" applyAlignment="1">
      <alignment/>
    </xf>
    <xf numFmtId="2" fontId="21" fillId="0" borderId="10" xfId="52" applyNumberFormat="1" applyFont="1" applyBorder="1" applyAlignment="1">
      <alignment/>
    </xf>
    <xf numFmtId="2" fontId="21" fillId="0" borderId="10" xfId="52" applyNumberFormat="1" applyFont="1" applyBorder="1" applyAlignment="1">
      <alignment horizontal="center"/>
    </xf>
    <xf numFmtId="2" fontId="21" fillId="0" borderId="10" xfId="52" applyNumberFormat="1" applyFont="1" applyFill="1" applyBorder="1" applyAlignment="1">
      <alignment horizontal="center"/>
    </xf>
    <xf numFmtId="2" fontId="21" fillId="0" borderId="11" xfId="52" applyNumberFormat="1" applyFont="1" applyBorder="1" applyAlignment="1">
      <alignment horizontal="center"/>
    </xf>
    <xf numFmtId="0" fontId="21" fillId="15" borderId="10" xfId="0" applyFont="1" applyFill="1" applyBorder="1" applyAlignment="1">
      <alignment horizontal="center" vertical="top"/>
    </xf>
    <xf numFmtId="0" fontId="21" fillId="15" borderId="10" xfId="0" applyFont="1" applyFill="1" applyBorder="1" applyAlignment="1">
      <alignment vertical="top" wrapText="1"/>
    </xf>
    <xf numFmtId="4" fontId="21" fillId="15" borderId="10" xfId="52" applyNumberFormat="1" applyFont="1" applyFill="1" applyBorder="1" applyAlignment="1">
      <alignment/>
    </xf>
    <xf numFmtId="4" fontId="21" fillId="15" borderId="10" xfId="52" applyNumberFormat="1" applyFont="1" applyFill="1" applyBorder="1" applyAlignment="1">
      <alignment horizontal="center"/>
    </xf>
    <xf numFmtId="3" fontId="21" fillId="0" borderId="10" xfId="52" applyNumberFormat="1" applyFont="1" applyFill="1" applyBorder="1" applyAlignment="1">
      <alignment horizontal="center"/>
    </xf>
    <xf numFmtId="4" fontId="21" fillId="15" borderId="11" xfId="52" applyNumberFormat="1" applyFont="1" applyFill="1" applyBorder="1" applyAlignment="1">
      <alignment horizontal="center"/>
    </xf>
    <xf numFmtId="0" fontId="21" fillId="15" borderId="0" xfId="0" applyFont="1" applyFill="1" applyBorder="1" applyAlignment="1">
      <alignment/>
    </xf>
    <xf numFmtId="2" fontId="21" fillId="18" borderId="10" xfId="52" applyNumberFormat="1" applyFont="1" applyFill="1" applyBorder="1" applyAlignment="1">
      <alignment/>
    </xf>
    <xf numFmtId="2" fontId="21" fillId="0" borderId="10" xfId="52" applyNumberFormat="1" applyFont="1" applyFill="1" applyBorder="1" applyAlignment="1">
      <alignment/>
    </xf>
    <xf numFmtId="2" fontId="21" fillId="18" borderId="0" xfId="52" applyNumberFormat="1" applyFont="1" applyFill="1" applyBorder="1" applyAlignment="1">
      <alignment/>
    </xf>
    <xf numFmtId="4" fontId="21" fillId="0" borderId="10" xfId="52" applyNumberFormat="1" applyFont="1" applyFill="1" applyBorder="1" applyAlignment="1">
      <alignment/>
    </xf>
    <xf numFmtId="3" fontId="21" fillId="0" borderId="10" xfId="52" applyNumberFormat="1" applyFont="1" applyFill="1" applyBorder="1" applyAlignment="1">
      <alignment/>
    </xf>
    <xf numFmtId="4" fontId="21" fillId="0" borderId="11" xfId="52" applyNumberFormat="1" applyFont="1" applyFill="1" applyBorder="1" applyAlignment="1">
      <alignment/>
    </xf>
    <xf numFmtId="4" fontId="21" fillId="18" borderId="10" xfId="52" applyNumberFormat="1" applyFont="1" applyFill="1" applyBorder="1" applyAlignment="1">
      <alignment/>
    </xf>
    <xf numFmtId="4" fontId="20" fillId="0" borderId="10" xfId="52" applyNumberFormat="1" applyFont="1" applyFill="1" applyBorder="1" applyAlignment="1">
      <alignment horizontal="center"/>
    </xf>
    <xf numFmtId="3" fontId="20" fillId="0" borderId="10" xfId="52" applyNumberFormat="1" applyFont="1" applyFill="1" applyBorder="1" applyAlignment="1">
      <alignment horizontal="center"/>
    </xf>
    <xf numFmtId="4" fontId="20" fillId="0" borderId="11" xfId="52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10" fontId="21" fillId="0" borderId="10" xfId="52" applyNumberFormat="1" applyFont="1" applyBorder="1" applyAlignment="1">
      <alignment/>
    </xf>
    <xf numFmtId="10" fontId="21" fillId="0" borderId="10" xfId="52" applyNumberFormat="1" applyFont="1" applyFill="1" applyBorder="1" applyAlignment="1">
      <alignment/>
    </xf>
    <xf numFmtId="10" fontId="21" fillId="0" borderId="11" xfId="52" applyNumberFormat="1" applyFont="1" applyBorder="1" applyAlignment="1">
      <alignment/>
    </xf>
    <xf numFmtId="10" fontId="21" fillId="18" borderId="10" xfId="52" applyNumberFormat="1" applyFont="1" applyFill="1" applyBorder="1" applyAlignment="1">
      <alignment/>
    </xf>
    <xf numFmtId="10" fontId="21" fillId="18" borderId="11" xfId="52" applyNumberFormat="1" applyFont="1" applyFill="1" applyBorder="1" applyAlignment="1">
      <alignment/>
    </xf>
    <xf numFmtId="10" fontId="21" fillId="0" borderId="11" xfId="52" applyNumberFormat="1" applyFont="1" applyFill="1" applyBorder="1" applyAlignment="1">
      <alignment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4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10" xfId="0" applyFont="1" applyBorder="1" applyAlignment="1">
      <alignment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vertical="top"/>
    </xf>
    <xf numFmtId="4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0" fillId="0" borderId="11" xfId="0" applyFont="1" applyBorder="1" applyAlignment="1">
      <alignment horizontal="left" vertical="top" wrapText="1"/>
    </xf>
    <xf numFmtId="0" fontId="20" fillId="0" borderId="15" xfId="0" applyFont="1" applyBorder="1" applyAlignment="1">
      <alignment horizontal="left" vertical="top"/>
    </xf>
    <xf numFmtId="0" fontId="20" fillId="0" borderId="16" xfId="0" applyNumberFormat="1" applyFont="1" applyFill="1" applyBorder="1" applyAlignment="1">
      <alignment vertical="center"/>
    </xf>
    <xf numFmtId="0" fontId="20" fillId="0" borderId="17" xfId="0" applyNumberFormat="1" applyFont="1" applyFill="1" applyBorder="1" applyAlignment="1">
      <alignment vertical="center"/>
    </xf>
    <xf numFmtId="0" fontId="20" fillId="0" borderId="18" xfId="0" applyFont="1" applyBorder="1" applyAlignment="1">
      <alignment horizontal="right" vertical="top"/>
    </xf>
    <xf numFmtId="0" fontId="19" fillId="0" borderId="18" xfId="0" applyFont="1" applyBorder="1" applyAlignment="1">
      <alignment horizontal="center"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61"/>
  <sheetViews>
    <sheetView tabSelected="1" view="pageBreakPreview" zoomScaleSheetLayoutView="100" zoomScalePageLayoutView="0"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H30" sqref="H30"/>
    </sheetView>
  </sheetViews>
  <sheetFormatPr defaultColWidth="9.140625" defaultRowHeight="12.75"/>
  <cols>
    <col min="1" max="1" width="4.140625" style="72" customWidth="1"/>
    <col min="2" max="2" width="30.28125" style="73" customWidth="1"/>
    <col min="3" max="3" width="14.00390625" style="74" hidden="1" customWidth="1"/>
    <col min="4" max="4" width="14.140625" style="74" hidden="1" customWidth="1"/>
    <col min="5" max="5" width="13.8515625" style="74" hidden="1" customWidth="1"/>
    <col min="6" max="6" width="15.00390625" style="74" hidden="1" customWidth="1"/>
    <col min="7" max="7" width="14.28125" style="74" hidden="1" customWidth="1"/>
    <col min="8" max="10" width="14.28125" style="74" customWidth="1"/>
    <col min="11" max="11" width="14.28125" style="75" customWidth="1"/>
    <col min="12" max="17" width="14.28125" style="74" customWidth="1"/>
    <col min="18" max="22" width="14.28125" style="1" customWidth="1"/>
    <col min="23" max="16384" width="9.140625" style="1" customWidth="1"/>
  </cols>
  <sheetData>
    <row r="3" spans="1:22" ht="22.5" customHeight="1">
      <c r="A3" s="81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0" t="s">
        <v>1</v>
      </c>
      <c r="V3" s="80"/>
    </row>
    <row r="4" spans="1:22" s="7" customFormat="1" ht="31.5">
      <c r="A4" s="2" t="s">
        <v>2</v>
      </c>
      <c r="B4" s="2" t="s">
        <v>3</v>
      </c>
      <c r="C4" s="3" t="s">
        <v>4</v>
      </c>
      <c r="D4" s="3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5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4" t="s">
        <v>23</v>
      </c>
    </row>
    <row r="5" spans="1:22" s="7" customFormat="1" ht="22.5" customHeight="1">
      <c r="A5" s="78" t="s">
        <v>24</v>
      </c>
      <c r="B5" s="79"/>
      <c r="C5" s="3"/>
      <c r="D5" s="3"/>
      <c r="E5" s="3"/>
      <c r="F5" s="3"/>
      <c r="G5" s="3"/>
      <c r="H5" s="3"/>
      <c r="I5" s="3"/>
      <c r="J5" s="3"/>
      <c r="K5" s="8"/>
      <c r="L5" s="9"/>
      <c r="M5" s="3"/>
      <c r="N5" s="3"/>
      <c r="O5" s="3"/>
      <c r="P5" s="3"/>
      <c r="Q5" s="10"/>
      <c r="R5" s="11"/>
      <c r="S5" s="11"/>
      <c r="T5" s="11"/>
      <c r="U5" s="11"/>
      <c r="V5" s="11"/>
    </row>
    <row r="6" spans="1:22" s="17" customFormat="1" ht="19.5" customHeight="1">
      <c r="A6" s="12">
        <v>1</v>
      </c>
      <c r="B6" s="13" t="s">
        <v>25</v>
      </c>
      <c r="C6" s="14">
        <f aca="true" t="shared" si="0" ref="C6:V6">C7+C8</f>
        <v>129927056</v>
      </c>
      <c r="D6" s="14">
        <f t="shared" si="0"/>
        <v>138078883</v>
      </c>
      <c r="E6" s="14">
        <f t="shared" si="0"/>
        <v>146236298</v>
      </c>
      <c r="F6" s="14">
        <f t="shared" si="0"/>
        <v>164582273</v>
      </c>
      <c r="G6" s="14">
        <f t="shared" si="0"/>
        <v>163369450</v>
      </c>
      <c r="H6" s="14">
        <f t="shared" si="0"/>
        <v>155570269</v>
      </c>
      <c r="I6" s="14">
        <f t="shared" si="0"/>
        <v>158233805</v>
      </c>
      <c r="J6" s="14">
        <f t="shared" si="0"/>
        <v>146883157.20000002</v>
      </c>
      <c r="K6" s="15">
        <f t="shared" si="0"/>
        <v>152317834.0164</v>
      </c>
      <c r="L6" s="14">
        <f t="shared" si="0"/>
        <v>157648958.206974</v>
      </c>
      <c r="M6" s="14">
        <f t="shared" si="0"/>
        <v>163009022.78601113</v>
      </c>
      <c r="N6" s="14">
        <f t="shared" si="0"/>
        <v>168388320.53794947</v>
      </c>
      <c r="O6" s="14">
        <f t="shared" si="0"/>
        <v>173776746.79516387</v>
      </c>
      <c r="P6" s="14">
        <f t="shared" si="0"/>
        <v>179163825.94581392</v>
      </c>
      <c r="Q6" s="16">
        <f t="shared" si="0"/>
        <v>184538740.72418836</v>
      </c>
      <c r="R6" s="16">
        <f t="shared" si="0"/>
        <v>190074902.945914</v>
      </c>
      <c r="S6" s="16">
        <f t="shared" si="0"/>
        <v>195777150.03429142</v>
      </c>
      <c r="T6" s="16">
        <f t="shared" si="0"/>
        <v>201650464.53532016</v>
      </c>
      <c r="U6" s="16">
        <f t="shared" si="0"/>
        <v>207699978.4713798</v>
      </c>
      <c r="V6" s="14">
        <f t="shared" si="0"/>
        <v>213930977.82552117</v>
      </c>
    </row>
    <row r="7" spans="1:22" s="23" customFormat="1" ht="20.25" customHeight="1">
      <c r="A7" s="18" t="s">
        <v>26</v>
      </c>
      <c r="B7" s="19" t="s">
        <v>27</v>
      </c>
      <c r="C7" s="20">
        <v>124203715</v>
      </c>
      <c r="D7" s="20">
        <v>122702875</v>
      </c>
      <c r="E7" s="20">
        <v>126894047</v>
      </c>
      <c r="F7" s="20">
        <v>135391695</v>
      </c>
      <c r="G7" s="20">
        <v>138351082</v>
      </c>
      <c r="H7" s="20">
        <f>135932440+3533693</f>
        <v>139466133</v>
      </c>
      <c r="I7" s="20">
        <v>141233805</v>
      </c>
      <c r="J7" s="20">
        <f>I7*1.04</f>
        <v>146883157.20000002</v>
      </c>
      <c r="K7" s="21">
        <f>J7*1.037</f>
        <v>152317834.0164</v>
      </c>
      <c r="L7" s="20">
        <f>K7*1.035</f>
        <v>157648958.206974</v>
      </c>
      <c r="M7" s="20">
        <f>L7*1.034</f>
        <v>163009022.78601113</v>
      </c>
      <c r="N7" s="20">
        <f>M7*1.033</f>
        <v>168388320.53794947</v>
      </c>
      <c r="O7" s="20">
        <f>N7*1.032</f>
        <v>173776746.79516387</v>
      </c>
      <c r="P7" s="20">
        <f>O7*1.031</f>
        <v>179163825.94581392</v>
      </c>
      <c r="Q7" s="22">
        <f aca="true" t="shared" si="1" ref="Q7:V7">P7*1.03</f>
        <v>184538740.72418836</v>
      </c>
      <c r="R7" s="22">
        <f t="shared" si="1"/>
        <v>190074902.945914</v>
      </c>
      <c r="S7" s="22">
        <f t="shared" si="1"/>
        <v>195777150.03429142</v>
      </c>
      <c r="T7" s="22">
        <f t="shared" si="1"/>
        <v>201650464.53532016</v>
      </c>
      <c r="U7" s="22">
        <f t="shared" si="1"/>
        <v>207699978.4713798</v>
      </c>
      <c r="V7" s="20">
        <f t="shared" si="1"/>
        <v>213930977.82552117</v>
      </c>
    </row>
    <row r="8" spans="1:22" s="23" customFormat="1" ht="19.5" customHeight="1">
      <c r="A8" s="18" t="s">
        <v>28</v>
      </c>
      <c r="B8" s="19" t="s">
        <v>29</v>
      </c>
      <c r="C8" s="20">
        <v>5723341</v>
      </c>
      <c r="D8" s="20">
        <v>15376008</v>
      </c>
      <c r="E8" s="20">
        <v>19342251</v>
      </c>
      <c r="F8" s="20">
        <v>29190578</v>
      </c>
      <c r="G8" s="21">
        <v>25018368</v>
      </c>
      <c r="H8" s="21">
        <f>12955526+2653842+494768</f>
        <v>16104136</v>
      </c>
      <c r="I8" s="20">
        <v>17000000</v>
      </c>
      <c r="J8" s="20"/>
      <c r="K8" s="21"/>
      <c r="L8" s="20"/>
      <c r="M8" s="20"/>
      <c r="N8" s="20"/>
      <c r="O8" s="20"/>
      <c r="P8" s="20"/>
      <c r="Q8" s="22"/>
      <c r="R8" s="20"/>
      <c r="S8" s="20"/>
      <c r="T8" s="20"/>
      <c r="U8" s="20"/>
      <c r="V8" s="20"/>
    </row>
    <row r="9" spans="1:22" s="23" customFormat="1" ht="20.25" customHeight="1">
      <c r="A9" s="18" t="s">
        <v>30</v>
      </c>
      <c r="B9" s="19" t="s">
        <v>31</v>
      </c>
      <c r="C9" s="20">
        <v>644322</v>
      </c>
      <c r="D9" s="20">
        <v>1327622</v>
      </c>
      <c r="E9" s="20">
        <v>4963541</v>
      </c>
      <c r="F9" s="20">
        <v>4184712</v>
      </c>
      <c r="G9" s="20">
        <v>2693060</v>
      </c>
      <c r="H9" s="20">
        <f>5458499+1326921+466970</f>
        <v>7252390</v>
      </c>
      <c r="I9" s="20">
        <v>17000000</v>
      </c>
      <c r="J9" s="20"/>
      <c r="K9" s="21"/>
      <c r="L9" s="20"/>
      <c r="M9" s="20"/>
      <c r="N9" s="20"/>
      <c r="O9" s="20"/>
      <c r="P9" s="20"/>
      <c r="Q9" s="22"/>
      <c r="R9" s="20"/>
      <c r="S9" s="20"/>
      <c r="T9" s="20"/>
      <c r="U9" s="20"/>
      <c r="V9" s="20"/>
    </row>
    <row r="10" spans="1:22" s="17" customFormat="1" ht="79.5" customHeight="1">
      <c r="A10" s="12">
        <v>2</v>
      </c>
      <c r="B10" s="13" t="s">
        <v>32</v>
      </c>
      <c r="C10" s="14">
        <f>104122000-1</f>
        <v>104121999</v>
      </c>
      <c r="D10" s="14">
        <f>115390087-1</f>
        <v>115390086</v>
      </c>
      <c r="E10" s="14">
        <v>126415257</v>
      </c>
      <c r="F10" s="14">
        <v>128989353</v>
      </c>
      <c r="G10" s="14">
        <v>134091763</v>
      </c>
      <c r="H10" s="14">
        <f>131769039+50000+4271485</f>
        <v>136090524</v>
      </c>
      <c r="I10" s="14">
        <v>135114514.975</v>
      </c>
      <c r="J10" s="14">
        <f>I10*1.025</f>
        <v>138492377.84937498</v>
      </c>
      <c r="K10" s="15">
        <f>J10*1.025</f>
        <v>141954687.29560935</v>
      </c>
      <c r="L10" s="14">
        <f>K10*1.025</f>
        <v>145503554.47799957</v>
      </c>
      <c r="M10" s="14">
        <f aca="true" t="shared" si="2" ref="M10:V10">L10*1.024</f>
        <v>148995639.78547156</v>
      </c>
      <c r="N10" s="14">
        <f t="shared" si="2"/>
        <v>152571535.1403229</v>
      </c>
      <c r="O10" s="14">
        <f t="shared" si="2"/>
        <v>156233251.98369065</v>
      </c>
      <c r="P10" s="14">
        <f t="shared" si="2"/>
        <v>159982850.03129923</v>
      </c>
      <c r="Q10" s="16">
        <f t="shared" si="2"/>
        <v>163822438.4320504</v>
      </c>
      <c r="R10" s="16">
        <f t="shared" si="2"/>
        <v>167754176.9544196</v>
      </c>
      <c r="S10" s="16">
        <f t="shared" si="2"/>
        <v>171780277.20132568</v>
      </c>
      <c r="T10" s="16">
        <f t="shared" si="2"/>
        <v>175903003.8541575</v>
      </c>
      <c r="U10" s="16">
        <f t="shared" si="2"/>
        <v>180124675.9466573</v>
      </c>
      <c r="V10" s="14">
        <f t="shared" si="2"/>
        <v>184447668.1693771</v>
      </c>
    </row>
    <row r="11" spans="1:22" s="23" customFormat="1" ht="32.25" customHeight="1">
      <c r="A11" s="18" t="s">
        <v>33</v>
      </c>
      <c r="B11" s="19" t="s">
        <v>34</v>
      </c>
      <c r="C11" s="21">
        <v>56403262</v>
      </c>
      <c r="D11" s="21">
        <v>62155974</v>
      </c>
      <c r="E11" s="20">
        <v>66294489</v>
      </c>
      <c r="F11" s="20">
        <v>70134466</v>
      </c>
      <c r="G11" s="20">
        <v>72602539</v>
      </c>
      <c r="H11" s="20">
        <f>71628105+239083</f>
        <v>71867188</v>
      </c>
      <c r="I11" s="20">
        <v>73776948.15</v>
      </c>
      <c r="J11" s="20">
        <f aca="true" t="shared" si="3" ref="J11:V11">+I11*1.03</f>
        <v>75990256.5945</v>
      </c>
      <c r="K11" s="21">
        <f t="shared" si="3"/>
        <v>78269964.292335</v>
      </c>
      <c r="L11" s="20">
        <f t="shared" si="3"/>
        <v>80618063.22110505</v>
      </c>
      <c r="M11" s="20">
        <f t="shared" si="3"/>
        <v>83036605.1177382</v>
      </c>
      <c r="N11" s="20">
        <f t="shared" si="3"/>
        <v>85527703.27127035</v>
      </c>
      <c r="O11" s="20">
        <f t="shared" si="3"/>
        <v>88093534.36940846</v>
      </c>
      <c r="P11" s="20">
        <f t="shared" si="3"/>
        <v>90736340.40049072</v>
      </c>
      <c r="Q11" s="22">
        <f t="shared" si="3"/>
        <v>93458430.61250544</v>
      </c>
      <c r="R11" s="22">
        <f t="shared" si="3"/>
        <v>96262183.5308806</v>
      </c>
      <c r="S11" s="22">
        <f t="shared" si="3"/>
        <v>99150049.03680702</v>
      </c>
      <c r="T11" s="22">
        <f t="shared" si="3"/>
        <v>102124550.50791124</v>
      </c>
      <c r="U11" s="22">
        <f t="shared" si="3"/>
        <v>105188287.02314858</v>
      </c>
      <c r="V11" s="20">
        <f t="shared" si="3"/>
        <v>108343935.63384303</v>
      </c>
    </row>
    <row r="12" spans="1:22" s="23" customFormat="1" ht="33.75" customHeight="1">
      <c r="A12" s="18" t="s">
        <v>35</v>
      </c>
      <c r="B12" s="19" t="s">
        <v>36</v>
      </c>
      <c r="C12" s="21">
        <v>8569307</v>
      </c>
      <c r="D12" s="21">
        <v>8593601</v>
      </c>
      <c r="E12" s="20">
        <v>9228070</v>
      </c>
      <c r="F12" s="20">
        <v>9610996</v>
      </c>
      <c r="G12" s="20">
        <v>9959725</v>
      </c>
      <c r="H12" s="20">
        <f>10036540+639</f>
        <v>10037179</v>
      </c>
      <c r="I12" s="20">
        <v>10287453.5</v>
      </c>
      <c r="J12" s="20">
        <f>+I12*1.025</f>
        <v>10544639.837499999</v>
      </c>
      <c r="K12" s="21">
        <f>+J12*1.025</f>
        <v>10808255.833437497</v>
      </c>
      <c r="L12" s="20">
        <f>+K12*1.025</f>
        <v>11078462.229273433</v>
      </c>
      <c r="M12" s="20">
        <f>+L12*1.025</f>
        <v>11355423.785005268</v>
      </c>
      <c r="N12" s="20">
        <f aca="true" t="shared" si="4" ref="N12:V12">+M12*1.024</f>
        <v>11627953.955845395</v>
      </c>
      <c r="O12" s="20">
        <f t="shared" si="4"/>
        <v>11907024.850785686</v>
      </c>
      <c r="P12" s="20">
        <f t="shared" si="4"/>
        <v>12192793.447204543</v>
      </c>
      <c r="Q12" s="22">
        <f t="shared" si="4"/>
        <v>12485420.489937453</v>
      </c>
      <c r="R12" s="22">
        <f t="shared" si="4"/>
        <v>12785070.581695952</v>
      </c>
      <c r="S12" s="22">
        <f t="shared" si="4"/>
        <v>13091912.275656655</v>
      </c>
      <c r="T12" s="22">
        <f t="shared" si="4"/>
        <v>13406118.170272416</v>
      </c>
      <c r="U12" s="22">
        <f t="shared" si="4"/>
        <v>13727865.006358953</v>
      </c>
      <c r="V12" s="20">
        <f t="shared" si="4"/>
        <v>14057333.766511569</v>
      </c>
    </row>
    <row r="13" spans="1:22" s="23" customFormat="1" ht="35.25" customHeight="1">
      <c r="A13" s="18" t="s">
        <v>37</v>
      </c>
      <c r="B13" s="19" t="s">
        <v>38</v>
      </c>
      <c r="C13" s="20">
        <v>0</v>
      </c>
      <c r="D13" s="20">
        <v>0</v>
      </c>
      <c r="E13" s="20">
        <v>0</v>
      </c>
      <c r="F13" s="20">
        <v>0</v>
      </c>
      <c r="G13" s="20">
        <v>666400</v>
      </c>
      <c r="H13" s="20">
        <v>658499</v>
      </c>
      <c r="I13" s="20">
        <v>901598</v>
      </c>
      <c r="J13" s="20">
        <v>981396</v>
      </c>
      <c r="K13" s="21">
        <v>1062112</v>
      </c>
      <c r="L13" s="20">
        <v>1039211</v>
      </c>
      <c r="M13" s="20">
        <v>1017310</v>
      </c>
      <c r="N13" s="20">
        <v>740955</v>
      </c>
      <c r="O13" s="20">
        <v>368000</v>
      </c>
      <c r="P13" s="20">
        <v>353000</v>
      </c>
      <c r="Q13" s="22">
        <v>339000</v>
      </c>
      <c r="R13" s="20">
        <v>324000</v>
      </c>
      <c r="S13" s="20">
        <v>310000</v>
      </c>
      <c r="T13" s="20">
        <v>295000</v>
      </c>
      <c r="U13" s="20">
        <v>281000</v>
      </c>
      <c r="V13" s="20">
        <v>135000</v>
      </c>
    </row>
    <row r="14" spans="1:22" s="23" customFormat="1" ht="63" customHeight="1">
      <c r="A14" s="18" t="s">
        <v>39</v>
      </c>
      <c r="B14" s="19" t="s">
        <v>40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1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</row>
    <row r="15" spans="1:22" s="23" customFormat="1" ht="48.75" customHeight="1">
      <c r="A15" s="18" t="s">
        <v>41</v>
      </c>
      <c r="B15" s="24" t="s">
        <v>42</v>
      </c>
      <c r="C15" s="20">
        <v>0</v>
      </c>
      <c r="D15" s="20">
        <v>0</v>
      </c>
      <c r="E15" s="20">
        <v>0</v>
      </c>
      <c r="F15" s="20">
        <v>3060692</v>
      </c>
      <c r="G15" s="21">
        <v>6338202</v>
      </c>
      <c r="H15" s="21">
        <v>3782249</v>
      </c>
      <c r="I15" s="21">
        <v>1632803</v>
      </c>
      <c r="J15" s="21">
        <v>1103396</v>
      </c>
      <c r="K15" s="21">
        <v>1127112</v>
      </c>
      <c r="L15" s="21">
        <v>1039211</v>
      </c>
      <c r="M15" s="21">
        <v>1017310</v>
      </c>
      <c r="N15" s="21">
        <v>740955</v>
      </c>
      <c r="O15" s="21">
        <v>368000</v>
      </c>
      <c r="P15" s="21">
        <v>353000</v>
      </c>
      <c r="Q15" s="25">
        <v>339000</v>
      </c>
      <c r="R15" s="20">
        <v>324000</v>
      </c>
      <c r="S15" s="20">
        <v>310000</v>
      </c>
      <c r="T15" s="20">
        <v>295000</v>
      </c>
      <c r="U15" s="20">
        <v>281000</v>
      </c>
      <c r="V15" s="20">
        <v>135000</v>
      </c>
    </row>
    <row r="16" spans="1:22" s="23" customFormat="1" ht="21" customHeight="1">
      <c r="A16" s="18">
        <v>3</v>
      </c>
      <c r="B16" s="19" t="s">
        <v>43</v>
      </c>
      <c r="C16" s="20">
        <f aca="true" t="shared" si="5" ref="C16:M16">C6-C10</f>
        <v>25805057</v>
      </c>
      <c r="D16" s="20">
        <f t="shared" si="5"/>
        <v>22688797</v>
      </c>
      <c r="E16" s="20">
        <f t="shared" si="5"/>
        <v>19821041</v>
      </c>
      <c r="F16" s="20">
        <f t="shared" si="5"/>
        <v>35592920</v>
      </c>
      <c r="G16" s="20">
        <f t="shared" si="5"/>
        <v>29277687</v>
      </c>
      <c r="H16" s="20">
        <f t="shared" si="5"/>
        <v>19479745</v>
      </c>
      <c r="I16" s="20">
        <f t="shared" si="5"/>
        <v>23119290.025000006</v>
      </c>
      <c r="J16" s="20">
        <f t="shared" si="5"/>
        <v>8390779.350625038</v>
      </c>
      <c r="K16" s="21">
        <f t="shared" si="5"/>
        <v>10363146.720790654</v>
      </c>
      <c r="L16" s="20">
        <f t="shared" si="5"/>
        <v>12145403.728974432</v>
      </c>
      <c r="M16" s="20">
        <f t="shared" si="5"/>
        <v>14013383.000539571</v>
      </c>
      <c r="N16" s="20">
        <f>N6-N10+1</f>
        <v>15816786.397626579</v>
      </c>
      <c r="O16" s="20">
        <f>O6-O10</f>
        <v>17543494.81147322</v>
      </c>
      <c r="P16" s="20">
        <f>P6-P10</f>
        <v>19180975.91451469</v>
      </c>
      <c r="Q16" s="22">
        <f>Q6-Q10+1</f>
        <v>20716303.29213795</v>
      </c>
      <c r="R16" s="22">
        <f>R6-R10</f>
        <v>22320725.991494387</v>
      </c>
      <c r="S16" s="22">
        <f>S6-S10</f>
        <v>23996872.83296573</v>
      </c>
      <c r="T16" s="22">
        <f>T6-T10</f>
        <v>25747460.681162655</v>
      </c>
      <c r="U16" s="22">
        <f>U6-U10-1</f>
        <v>27575301.524722487</v>
      </c>
      <c r="V16" s="20">
        <f>V6-V10</f>
        <v>29483309.656144083</v>
      </c>
    </row>
    <row r="17" spans="1:22" s="23" customFormat="1" ht="48" customHeight="1">
      <c r="A17" s="26">
        <v>4</v>
      </c>
      <c r="B17" s="19" t="s">
        <v>44</v>
      </c>
      <c r="C17" s="21">
        <v>0</v>
      </c>
      <c r="D17" s="21">
        <v>4152945</v>
      </c>
      <c r="E17" s="21">
        <v>1755236</v>
      </c>
      <c r="F17" s="21">
        <v>683857</v>
      </c>
      <c r="G17" s="21">
        <v>1801237</v>
      </c>
      <c r="H17" s="21">
        <f>1610000+687792</f>
        <v>2297792</v>
      </c>
      <c r="I17" s="21">
        <f aca="true" t="shared" si="6" ref="I17:O17">H30</f>
        <v>0</v>
      </c>
      <c r="J17" s="21">
        <f t="shared" si="6"/>
        <v>0.025000005960464478</v>
      </c>
      <c r="K17" s="21">
        <f t="shared" si="6"/>
        <v>0.37562504410743713</v>
      </c>
      <c r="L17" s="21">
        <f t="shared" si="6"/>
        <v>0.0964156985282898</v>
      </c>
      <c r="M17" s="21">
        <f t="shared" si="6"/>
        <v>-0.17460986971855164</v>
      </c>
      <c r="N17" s="21">
        <f t="shared" si="6"/>
        <v>-0.1740702986717224</v>
      </c>
      <c r="O17" s="21">
        <f t="shared" si="6"/>
        <v>0.2235562801361084</v>
      </c>
      <c r="P17" s="21">
        <f aca="true" t="shared" si="7" ref="P17:V17">N30</f>
        <v>0.2235562801361084</v>
      </c>
      <c r="Q17" s="25">
        <f t="shared" si="7"/>
        <v>0.03502950072288513</v>
      </c>
      <c r="R17" s="25">
        <f t="shared" si="7"/>
        <v>0.1380709707736969</v>
      </c>
      <c r="S17" s="25">
        <f t="shared" si="7"/>
        <v>0.32716745138168335</v>
      </c>
      <c r="T17" s="25">
        <f t="shared" si="7"/>
        <v>0.12956535816192627</v>
      </c>
      <c r="U17" s="25">
        <f t="shared" si="7"/>
        <v>0.16013318300247192</v>
      </c>
      <c r="V17" s="21">
        <f t="shared" si="7"/>
        <v>-0.1892719864845276</v>
      </c>
    </row>
    <row r="18" spans="1:22" s="23" customFormat="1" ht="91.5" customHeight="1">
      <c r="A18" s="26" t="s">
        <v>45</v>
      </c>
      <c r="B18" s="19" t="s">
        <v>46</v>
      </c>
      <c r="C18" s="21">
        <v>0</v>
      </c>
      <c r="D18" s="21">
        <v>4152945</v>
      </c>
      <c r="E18" s="21">
        <v>1755236</v>
      </c>
      <c r="F18" s="21">
        <v>683857</v>
      </c>
      <c r="G18" s="21">
        <v>1801237</v>
      </c>
      <c r="H18" s="21"/>
      <c r="I18" s="21"/>
      <c r="J18" s="21"/>
      <c r="K18" s="21"/>
      <c r="L18" s="21"/>
      <c r="M18" s="21"/>
      <c r="N18" s="21"/>
      <c r="O18" s="21"/>
      <c r="P18" s="21"/>
      <c r="Q18" s="25"/>
      <c r="R18" s="20"/>
      <c r="S18" s="20"/>
      <c r="T18" s="20"/>
      <c r="U18" s="20"/>
      <c r="V18" s="20"/>
    </row>
    <row r="19" spans="1:22" s="23" customFormat="1" ht="36.75" customHeight="1">
      <c r="A19" s="26">
        <v>5</v>
      </c>
      <c r="B19" s="19" t="s">
        <v>47</v>
      </c>
      <c r="C19" s="21">
        <v>0</v>
      </c>
      <c r="D19" s="21">
        <v>2100000</v>
      </c>
      <c r="E19" s="21">
        <v>2100000</v>
      </c>
      <c r="F19" s="21">
        <v>0</v>
      </c>
      <c r="G19" s="21">
        <v>2000000</v>
      </c>
      <c r="H19" s="21">
        <v>1800000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1">
        <v>0</v>
      </c>
    </row>
    <row r="20" spans="1:22" s="23" customFormat="1" ht="23.25" customHeight="1">
      <c r="A20" s="18">
        <v>6</v>
      </c>
      <c r="B20" s="19" t="s">
        <v>48</v>
      </c>
      <c r="C20" s="20">
        <f aca="true" t="shared" si="8" ref="C20:U20">C16+C17+C19</f>
        <v>25805057</v>
      </c>
      <c r="D20" s="20">
        <f t="shared" si="8"/>
        <v>28941742</v>
      </c>
      <c r="E20" s="20">
        <f t="shared" si="8"/>
        <v>23676277</v>
      </c>
      <c r="F20" s="20">
        <f t="shared" si="8"/>
        <v>36276777</v>
      </c>
      <c r="G20" s="20">
        <f t="shared" si="8"/>
        <v>33078924</v>
      </c>
      <c r="H20" s="20">
        <f t="shared" si="8"/>
        <v>23577537</v>
      </c>
      <c r="I20" s="20">
        <f t="shared" si="8"/>
        <v>23119290.025000006</v>
      </c>
      <c r="J20" s="20">
        <f t="shared" si="8"/>
        <v>8390779.375625044</v>
      </c>
      <c r="K20" s="21">
        <f t="shared" si="8"/>
        <v>10363147.096415699</v>
      </c>
      <c r="L20" s="20">
        <f t="shared" si="8"/>
        <v>12145403.82539013</v>
      </c>
      <c r="M20" s="20">
        <f t="shared" si="8"/>
        <v>14013382.825929701</v>
      </c>
      <c r="N20" s="20">
        <f t="shared" si="8"/>
        <v>15816786.22355628</v>
      </c>
      <c r="O20" s="20">
        <f t="shared" si="8"/>
        <v>17543495.0350295</v>
      </c>
      <c r="P20" s="20">
        <f t="shared" si="8"/>
        <v>19180976.13807097</v>
      </c>
      <c r="Q20" s="22">
        <f t="shared" si="8"/>
        <v>20716303.32716745</v>
      </c>
      <c r="R20" s="22">
        <f t="shared" si="8"/>
        <v>22320726.12956536</v>
      </c>
      <c r="S20" s="22">
        <f t="shared" si="8"/>
        <v>23996873.160133183</v>
      </c>
      <c r="T20" s="22">
        <f t="shared" si="8"/>
        <v>25747460.810728014</v>
      </c>
      <c r="U20" s="22">
        <f t="shared" si="8"/>
        <v>27575301.68485567</v>
      </c>
      <c r="V20" s="20">
        <f>V16+V17+V19+1</f>
        <v>29483310.466872096</v>
      </c>
    </row>
    <row r="21" spans="1:22" s="17" customFormat="1" ht="36.75" customHeight="1">
      <c r="A21" s="27">
        <v>7</v>
      </c>
      <c r="B21" s="13" t="s">
        <v>49</v>
      </c>
      <c r="C21" s="14">
        <f aca="true" t="shared" si="9" ref="C21:V21">SUM(C22:C23)</f>
        <v>4175906</v>
      </c>
      <c r="D21" s="14">
        <f t="shared" si="9"/>
        <v>3855630</v>
      </c>
      <c r="E21" s="14">
        <f t="shared" si="9"/>
        <v>5072953</v>
      </c>
      <c r="F21" s="14">
        <f t="shared" si="9"/>
        <v>19787169</v>
      </c>
      <c r="G21" s="14">
        <f t="shared" si="9"/>
        <v>15795799</v>
      </c>
      <c r="H21" s="14">
        <f t="shared" si="9"/>
        <v>6156178</v>
      </c>
      <c r="I21" s="14">
        <f t="shared" si="9"/>
        <v>6182626</v>
      </c>
      <c r="J21" s="14">
        <f t="shared" si="9"/>
        <v>6813984</v>
      </c>
      <c r="K21" s="15">
        <f t="shared" si="9"/>
        <v>6550772</v>
      </c>
      <c r="L21" s="14">
        <f t="shared" si="9"/>
        <v>6287535</v>
      </c>
      <c r="M21" s="14">
        <f t="shared" si="9"/>
        <v>5764487</v>
      </c>
      <c r="N21" s="14">
        <f t="shared" si="9"/>
        <v>5386192</v>
      </c>
      <c r="O21" s="14">
        <f t="shared" si="9"/>
        <v>4326908</v>
      </c>
      <c r="P21" s="14">
        <f t="shared" si="9"/>
        <v>4110041</v>
      </c>
      <c r="Q21" s="16">
        <f t="shared" si="9"/>
        <v>3343807</v>
      </c>
      <c r="R21" s="16">
        <f t="shared" si="9"/>
        <v>857178</v>
      </c>
      <c r="S21" s="16">
        <f t="shared" si="9"/>
        <v>0</v>
      </c>
      <c r="T21" s="16">
        <f t="shared" si="9"/>
        <v>0</v>
      </c>
      <c r="U21" s="16">
        <f t="shared" si="9"/>
        <v>0</v>
      </c>
      <c r="V21" s="14">
        <f t="shared" si="9"/>
        <v>0</v>
      </c>
    </row>
    <row r="22" spans="1:22" s="28" customFormat="1" ht="52.5" customHeight="1">
      <c r="A22" s="26" t="s">
        <v>50</v>
      </c>
      <c r="B22" s="24" t="s">
        <v>51</v>
      </c>
      <c r="C22" s="21">
        <v>3256004</v>
      </c>
      <c r="D22" s="21">
        <v>3238649</v>
      </c>
      <c r="E22" s="21">
        <v>3880159</v>
      </c>
      <c r="F22" s="21">
        <v>17909426</v>
      </c>
      <c r="G22" s="21">
        <v>13710515</v>
      </c>
      <c r="H22" s="21">
        <v>4264034</v>
      </c>
      <c r="I22" s="21">
        <v>4059027</v>
      </c>
      <c r="J22" s="21">
        <v>5010865</v>
      </c>
      <c r="K22" s="21">
        <v>5010865</v>
      </c>
      <c r="L22" s="21">
        <v>5010863</v>
      </c>
      <c r="M22" s="21">
        <v>4745648</v>
      </c>
      <c r="N22" s="21">
        <v>4615714</v>
      </c>
      <c r="O22" s="21">
        <v>3779439</v>
      </c>
      <c r="P22" s="21">
        <v>3737670</v>
      </c>
      <c r="Q22" s="25">
        <v>3159696</v>
      </c>
      <c r="R22" s="21">
        <v>836145</v>
      </c>
      <c r="S22" s="21">
        <v>0</v>
      </c>
      <c r="T22" s="21">
        <v>0</v>
      </c>
      <c r="U22" s="21">
        <v>0</v>
      </c>
      <c r="V22" s="21">
        <v>0</v>
      </c>
    </row>
    <row r="23" spans="1:22" s="28" customFormat="1" ht="22.5" customHeight="1">
      <c r="A23" s="26" t="s">
        <v>52</v>
      </c>
      <c r="B23" s="24" t="s">
        <v>53</v>
      </c>
      <c r="C23" s="21">
        <v>919902</v>
      </c>
      <c r="D23" s="21">
        <v>616981</v>
      </c>
      <c r="E23" s="21">
        <v>1192794</v>
      </c>
      <c r="F23" s="21">
        <v>1877743</v>
      </c>
      <c r="G23" s="21">
        <v>2085284</v>
      </c>
      <c r="H23" s="21">
        <v>1892144</v>
      </c>
      <c r="I23" s="21">
        <v>2123599</v>
      </c>
      <c r="J23" s="21">
        <v>1803119</v>
      </c>
      <c r="K23" s="21">
        <v>1539907</v>
      </c>
      <c r="L23" s="21">
        <v>1276672</v>
      </c>
      <c r="M23" s="21">
        <v>1018839</v>
      </c>
      <c r="N23" s="21">
        <v>770478</v>
      </c>
      <c r="O23" s="21">
        <v>547469</v>
      </c>
      <c r="P23" s="21">
        <v>372371</v>
      </c>
      <c r="Q23" s="25">
        <v>184111</v>
      </c>
      <c r="R23" s="21">
        <v>21033</v>
      </c>
      <c r="S23" s="21">
        <v>0</v>
      </c>
      <c r="T23" s="21">
        <v>0</v>
      </c>
      <c r="U23" s="21">
        <v>0</v>
      </c>
      <c r="V23" s="21">
        <v>0</v>
      </c>
    </row>
    <row r="24" spans="1:22" s="23" customFormat="1" ht="35.25" customHeight="1">
      <c r="A24" s="18">
        <v>8</v>
      </c>
      <c r="B24" s="19" t="s">
        <v>54</v>
      </c>
      <c r="C24" s="20">
        <v>634705</v>
      </c>
      <c r="D24" s="20">
        <v>2100000</v>
      </c>
      <c r="E24" s="20">
        <v>3900000</v>
      </c>
      <c r="F24" s="20">
        <v>150000</v>
      </c>
      <c r="G24" s="20">
        <v>0</v>
      </c>
      <c r="H24" s="20">
        <v>0</v>
      </c>
      <c r="I24" s="20">
        <v>0</v>
      </c>
      <c r="J24" s="20">
        <v>0</v>
      </c>
      <c r="K24" s="21">
        <v>0</v>
      </c>
      <c r="L24" s="20">
        <v>0</v>
      </c>
      <c r="M24" s="20">
        <v>0</v>
      </c>
      <c r="N24" s="20">
        <v>0</v>
      </c>
      <c r="O24" s="20">
        <v>0</v>
      </c>
      <c r="P24" s="20"/>
      <c r="Q24" s="22"/>
      <c r="R24" s="20"/>
      <c r="S24" s="20"/>
      <c r="T24" s="20"/>
      <c r="U24" s="20"/>
      <c r="V24" s="20"/>
    </row>
    <row r="25" spans="1:22" s="23" customFormat="1" ht="23.25" customHeight="1">
      <c r="A25" s="18">
        <v>9</v>
      </c>
      <c r="B25" s="19" t="s">
        <v>55</v>
      </c>
      <c r="C25" s="20">
        <f aca="true" t="shared" si="10" ref="C25:V25">C20-C21-C24</f>
        <v>20994446</v>
      </c>
      <c r="D25" s="20">
        <f t="shared" si="10"/>
        <v>22986112</v>
      </c>
      <c r="E25" s="20">
        <f t="shared" si="10"/>
        <v>14703324</v>
      </c>
      <c r="F25" s="20">
        <f t="shared" si="10"/>
        <v>16339608</v>
      </c>
      <c r="G25" s="20">
        <f t="shared" si="10"/>
        <v>17283125</v>
      </c>
      <c r="H25" s="20">
        <f t="shared" si="10"/>
        <v>17421359</v>
      </c>
      <c r="I25" s="20">
        <f t="shared" si="10"/>
        <v>16936664.025000006</v>
      </c>
      <c r="J25" s="20">
        <f t="shared" si="10"/>
        <v>1576795.375625044</v>
      </c>
      <c r="K25" s="21">
        <f t="shared" si="10"/>
        <v>3812375.0964156985</v>
      </c>
      <c r="L25" s="20">
        <f t="shared" si="10"/>
        <v>5857868.82539013</v>
      </c>
      <c r="M25" s="20">
        <f t="shared" si="10"/>
        <v>8248895.825929701</v>
      </c>
      <c r="N25" s="20">
        <f t="shared" si="10"/>
        <v>10430594.22355628</v>
      </c>
      <c r="O25" s="20">
        <f t="shared" si="10"/>
        <v>13216587.0350295</v>
      </c>
      <c r="P25" s="20">
        <f t="shared" si="10"/>
        <v>15070935.13807097</v>
      </c>
      <c r="Q25" s="22">
        <f t="shared" si="10"/>
        <v>17372496.32716745</v>
      </c>
      <c r="R25" s="22">
        <f t="shared" si="10"/>
        <v>21463548.12956536</v>
      </c>
      <c r="S25" s="22">
        <f t="shared" si="10"/>
        <v>23996873.160133183</v>
      </c>
      <c r="T25" s="22">
        <f t="shared" si="10"/>
        <v>25747460.810728014</v>
      </c>
      <c r="U25" s="22">
        <f t="shared" si="10"/>
        <v>27575301.68485567</v>
      </c>
      <c r="V25" s="20">
        <f t="shared" si="10"/>
        <v>29483310.466872096</v>
      </c>
    </row>
    <row r="26" spans="1:22" s="17" customFormat="1" ht="34.5" customHeight="1">
      <c r="A26" s="12">
        <v>10</v>
      </c>
      <c r="B26" s="13" t="s">
        <v>56</v>
      </c>
      <c r="C26" s="14">
        <f>C27</f>
        <v>16841501</v>
      </c>
      <c r="D26" s="14">
        <f>D27</f>
        <v>28295151</v>
      </c>
      <c r="E26" s="14">
        <v>45079467</v>
      </c>
      <c r="F26" s="14">
        <v>24453857</v>
      </c>
      <c r="G26" s="15">
        <v>32700759</v>
      </c>
      <c r="H26" s="15">
        <f>22734208-50000+2653842+444768</f>
        <v>25782818</v>
      </c>
      <c r="I26" s="14">
        <v>16936664</v>
      </c>
      <c r="J26" s="14">
        <v>1576795</v>
      </c>
      <c r="K26" s="15">
        <v>3812375</v>
      </c>
      <c r="L26" s="14">
        <v>5857869</v>
      </c>
      <c r="M26" s="14">
        <v>8248896</v>
      </c>
      <c r="N26" s="14">
        <v>10430594</v>
      </c>
      <c r="O26" s="14">
        <v>13216587</v>
      </c>
      <c r="P26" s="14">
        <v>15070935</v>
      </c>
      <c r="Q26" s="16">
        <v>17372496</v>
      </c>
      <c r="R26" s="14">
        <v>21463548</v>
      </c>
      <c r="S26" s="14">
        <v>23996873</v>
      </c>
      <c r="T26" s="14">
        <v>25747461</v>
      </c>
      <c r="U26" s="14">
        <v>27575302</v>
      </c>
      <c r="V26" s="14">
        <v>29483310</v>
      </c>
    </row>
    <row r="27" spans="1:22" s="23" customFormat="1" ht="50.25" customHeight="1">
      <c r="A27" s="18" t="s">
        <v>57</v>
      </c>
      <c r="B27" s="24" t="s">
        <v>58</v>
      </c>
      <c r="C27" s="20">
        <v>16841501</v>
      </c>
      <c r="D27" s="20">
        <v>28295151</v>
      </c>
      <c r="E27" s="20">
        <v>45079467</v>
      </c>
      <c r="F27" s="20">
        <v>7023564</v>
      </c>
      <c r="G27" s="21">
        <v>5339701</v>
      </c>
      <c r="H27" s="21">
        <v>15367368</v>
      </c>
      <c r="I27" s="21">
        <v>4531073</v>
      </c>
      <c r="J27" s="21"/>
      <c r="K27" s="21"/>
      <c r="L27" s="21"/>
      <c r="M27" s="21"/>
      <c r="N27" s="21"/>
      <c r="O27" s="21"/>
      <c r="P27" s="21"/>
      <c r="Q27" s="25"/>
      <c r="R27" s="20"/>
      <c r="S27" s="20"/>
      <c r="T27" s="20"/>
      <c r="U27" s="20"/>
      <c r="V27" s="20"/>
    </row>
    <row r="28" spans="1:22" s="17" customFormat="1" ht="50.25" customHeight="1">
      <c r="A28" s="27">
        <v>11</v>
      </c>
      <c r="B28" s="13" t="s">
        <v>59</v>
      </c>
      <c r="C28" s="14">
        <v>0</v>
      </c>
      <c r="D28" s="14">
        <v>7064275</v>
      </c>
      <c r="E28" s="14">
        <v>31060000</v>
      </c>
      <c r="F28" s="14">
        <v>9942230</v>
      </c>
      <c r="G28" s="14">
        <v>15417634</v>
      </c>
      <c r="H28" s="14">
        <v>8361459</v>
      </c>
      <c r="I28" s="14"/>
      <c r="J28" s="14"/>
      <c r="K28" s="15"/>
      <c r="L28" s="14"/>
      <c r="M28" s="14"/>
      <c r="N28" s="14"/>
      <c r="O28" s="14"/>
      <c r="P28" s="14"/>
      <c r="Q28" s="16"/>
      <c r="R28" s="14"/>
      <c r="S28" s="14"/>
      <c r="T28" s="14"/>
      <c r="U28" s="14"/>
      <c r="V28" s="14"/>
    </row>
    <row r="29" spans="1:22" s="17" customFormat="1" ht="22.5" customHeight="1">
      <c r="A29" s="18" t="s">
        <v>60</v>
      </c>
      <c r="B29" s="19" t="s">
        <v>61</v>
      </c>
      <c r="C29" s="20"/>
      <c r="D29" s="20"/>
      <c r="E29" s="20"/>
      <c r="F29" s="20"/>
      <c r="G29" s="20">
        <v>5535100</v>
      </c>
      <c r="H29" s="20">
        <v>8195217</v>
      </c>
      <c r="I29" s="14"/>
      <c r="J29" s="14"/>
      <c r="K29" s="15"/>
      <c r="L29" s="14"/>
      <c r="M29" s="14"/>
      <c r="N29" s="14"/>
      <c r="O29" s="14"/>
      <c r="P29" s="14"/>
      <c r="Q29" s="16"/>
      <c r="R29" s="14"/>
      <c r="S29" s="14"/>
      <c r="T29" s="14"/>
      <c r="U29" s="14"/>
      <c r="V29" s="14"/>
    </row>
    <row r="30" spans="1:22" s="23" customFormat="1" ht="31.5" customHeight="1">
      <c r="A30" s="18">
        <v>12</v>
      </c>
      <c r="B30" s="19" t="s">
        <v>62</v>
      </c>
      <c r="C30" s="20">
        <f aca="true" t="shared" si="11" ref="C30:V30">C25-C26+C28</f>
        <v>4152945</v>
      </c>
      <c r="D30" s="20">
        <f t="shared" si="11"/>
        <v>1755236</v>
      </c>
      <c r="E30" s="20">
        <f t="shared" si="11"/>
        <v>683857</v>
      </c>
      <c r="F30" s="20">
        <f t="shared" si="11"/>
        <v>1827981</v>
      </c>
      <c r="G30" s="20">
        <f t="shared" si="11"/>
        <v>0</v>
      </c>
      <c r="H30" s="21">
        <f t="shared" si="11"/>
        <v>0</v>
      </c>
      <c r="I30" s="21">
        <f t="shared" si="11"/>
        <v>0.025000005960464478</v>
      </c>
      <c r="J30" s="20">
        <f t="shared" si="11"/>
        <v>0.37562504410743713</v>
      </c>
      <c r="K30" s="21">
        <f t="shared" si="11"/>
        <v>0.0964156985282898</v>
      </c>
      <c r="L30" s="20">
        <f t="shared" si="11"/>
        <v>-0.17460986971855164</v>
      </c>
      <c r="M30" s="20">
        <f t="shared" si="11"/>
        <v>-0.1740702986717224</v>
      </c>
      <c r="N30" s="20">
        <f t="shared" si="11"/>
        <v>0.2235562801361084</v>
      </c>
      <c r="O30" s="20">
        <f t="shared" si="11"/>
        <v>0.03502950072288513</v>
      </c>
      <c r="P30" s="20">
        <f t="shared" si="11"/>
        <v>0.1380709707736969</v>
      </c>
      <c r="Q30" s="22">
        <f t="shared" si="11"/>
        <v>0.32716745138168335</v>
      </c>
      <c r="R30" s="22">
        <f t="shared" si="11"/>
        <v>0.12956535816192627</v>
      </c>
      <c r="S30" s="22">
        <f t="shared" si="11"/>
        <v>0.16013318300247192</v>
      </c>
      <c r="T30" s="22">
        <f t="shared" si="11"/>
        <v>-0.1892719864845276</v>
      </c>
      <c r="U30" s="22">
        <f t="shared" si="11"/>
        <v>-0.3151443302631378</v>
      </c>
      <c r="V30" s="20">
        <f t="shared" si="11"/>
        <v>0.46687209606170654</v>
      </c>
    </row>
    <row r="31" spans="1:22" s="23" customFormat="1" ht="36.75" customHeight="1">
      <c r="A31" s="76" t="s">
        <v>63</v>
      </c>
      <c r="B31" s="77"/>
      <c r="C31" s="20"/>
      <c r="D31" s="20"/>
      <c r="E31" s="20"/>
      <c r="F31" s="20"/>
      <c r="G31" s="21"/>
      <c r="H31" s="21"/>
      <c r="I31" s="21"/>
      <c r="J31" s="20"/>
      <c r="K31" s="21"/>
      <c r="L31" s="20"/>
      <c r="M31" s="20"/>
      <c r="N31" s="20"/>
      <c r="O31" s="20"/>
      <c r="P31" s="20"/>
      <c r="Q31" s="22"/>
      <c r="R31" s="20"/>
      <c r="S31" s="20"/>
      <c r="T31" s="20"/>
      <c r="U31" s="20"/>
      <c r="V31" s="20"/>
    </row>
    <row r="32" spans="1:22" s="31" customFormat="1" ht="22.5" customHeight="1">
      <c r="A32" s="12">
        <v>13</v>
      </c>
      <c r="B32" s="29" t="s">
        <v>64</v>
      </c>
      <c r="C32" s="15">
        <v>13522494</v>
      </c>
      <c r="D32" s="15">
        <f>+C32+D28-D22</f>
        <v>17348120</v>
      </c>
      <c r="E32" s="15">
        <v>44420097</v>
      </c>
      <c r="F32" s="15">
        <v>36165098</v>
      </c>
      <c r="G32" s="15">
        <v>35868507</v>
      </c>
      <c r="H32" s="15">
        <f aca="true" t="shared" si="12" ref="H32:V32">G32+H28-H22</f>
        <v>39965932</v>
      </c>
      <c r="I32" s="15">
        <f t="shared" si="12"/>
        <v>35906905</v>
      </c>
      <c r="J32" s="15">
        <f t="shared" si="12"/>
        <v>30896040</v>
      </c>
      <c r="K32" s="15">
        <f t="shared" si="12"/>
        <v>25885175</v>
      </c>
      <c r="L32" s="15">
        <f t="shared" si="12"/>
        <v>20874312</v>
      </c>
      <c r="M32" s="15">
        <f t="shared" si="12"/>
        <v>16128664</v>
      </c>
      <c r="N32" s="15">
        <f t="shared" si="12"/>
        <v>11512950</v>
      </c>
      <c r="O32" s="15">
        <f t="shared" si="12"/>
        <v>7733511</v>
      </c>
      <c r="P32" s="15">
        <f t="shared" si="12"/>
        <v>3995841</v>
      </c>
      <c r="Q32" s="30">
        <f t="shared" si="12"/>
        <v>836145</v>
      </c>
      <c r="R32" s="30">
        <f t="shared" si="12"/>
        <v>0</v>
      </c>
      <c r="S32" s="30">
        <f t="shared" si="12"/>
        <v>0</v>
      </c>
      <c r="T32" s="30">
        <f t="shared" si="12"/>
        <v>0</v>
      </c>
      <c r="U32" s="30">
        <f t="shared" si="12"/>
        <v>0</v>
      </c>
      <c r="V32" s="15">
        <f t="shared" si="12"/>
        <v>0</v>
      </c>
    </row>
    <row r="33" spans="1:22" s="23" customFormat="1" ht="45.75" customHeight="1">
      <c r="A33" s="18" t="s">
        <v>65</v>
      </c>
      <c r="B33" s="19" t="s">
        <v>66</v>
      </c>
      <c r="C33" s="20"/>
      <c r="D33" s="20"/>
      <c r="E33" s="20"/>
      <c r="F33" s="20"/>
      <c r="G33" s="20"/>
      <c r="H33" s="20"/>
      <c r="I33" s="20"/>
      <c r="J33" s="20"/>
      <c r="K33" s="21"/>
      <c r="L33" s="20"/>
      <c r="M33" s="20"/>
      <c r="N33" s="20"/>
      <c r="O33" s="20"/>
      <c r="P33" s="20"/>
      <c r="Q33" s="22"/>
      <c r="R33" s="20"/>
      <c r="S33" s="20"/>
      <c r="T33" s="20"/>
      <c r="U33" s="20"/>
      <c r="V33" s="20"/>
    </row>
    <row r="34" spans="1:22" s="23" customFormat="1" ht="63" customHeight="1">
      <c r="A34" s="18" t="s">
        <v>67</v>
      </c>
      <c r="B34" s="19" t="s">
        <v>68</v>
      </c>
      <c r="C34" s="20"/>
      <c r="D34" s="20"/>
      <c r="E34" s="20"/>
      <c r="F34" s="20"/>
      <c r="G34" s="20"/>
      <c r="H34" s="20"/>
      <c r="I34" s="20"/>
      <c r="J34" s="20"/>
      <c r="K34" s="21"/>
      <c r="L34" s="20"/>
      <c r="M34" s="20"/>
      <c r="N34" s="20"/>
      <c r="O34" s="20"/>
      <c r="P34" s="20"/>
      <c r="Q34" s="22"/>
      <c r="R34" s="20"/>
      <c r="S34" s="20"/>
      <c r="T34" s="20"/>
      <c r="U34" s="20"/>
      <c r="V34" s="20"/>
    </row>
    <row r="35" spans="1:22" s="23" customFormat="1" ht="93.75" customHeight="1">
      <c r="A35" s="18">
        <v>14</v>
      </c>
      <c r="B35" s="19" t="s">
        <v>69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3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4">
        <v>0</v>
      </c>
      <c r="R35" s="34">
        <v>0</v>
      </c>
      <c r="S35" s="34">
        <v>0</v>
      </c>
      <c r="T35" s="34">
        <v>0</v>
      </c>
      <c r="U35" s="34">
        <v>0</v>
      </c>
      <c r="V35" s="32">
        <v>0</v>
      </c>
    </row>
    <row r="36" spans="1:22" s="23" customFormat="1" ht="47.25" customHeight="1">
      <c r="A36" s="18">
        <v>15</v>
      </c>
      <c r="B36" s="19" t="s">
        <v>70</v>
      </c>
      <c r="C36" s="35">
        <f aca="true" t="shared" si="13" ref="C36:V36">(C22+C23+C13-C33)/C6</f>
        <v>0.03214038806513095</v>
      </c>
      <c r="D36" s="35">
        <f t="shared" si="13"/>
        <v>0.027923386373280554</v>
      </c>
      <c r="E36" s="35">
        <f t="shared" si="13"/>
        <v>0.034690108197350564</v>
      </c>
      <c r="F36" s="35">
        <f t="shared" si="13"/>
        <v>0.12022661152577471</v>
      </c>
      <c r="G36" s="36">
        <f t="shared" si="13"/>
        <v>0.1007666916917453</v>
      </c>
      <c r="H36" s="36">
        <f t="shared" si="13"/>
        <v>0.04380449454644833</v>
      </c>
      <c r="I36" s="36">
        <f t="shared" si="13"/>
        <v>0.04477061017397641</v>
      </c>
      <c r="J36" s="36">
        <f t="shared" si="13"/>
        <v>0.05307198012761669</v>
      </c>
      <c r="K36" s="37">
        <f t="shared" si="13"/>
        <v>0.04998025378420444</v>
      </c>
      <c r="L36" s="36">
        <f t="shared" si="13"/>
        <v>0.0464750676650896</v>
      </c>
      <c r="M36" s="36">
        <f t="shared" si="13"/>
        <v>0.04160381360547602</v>
      </c>
      <c r="N36" s="36">
        <f t="shared" si="13"/>
        <v>0.036387007011089774</v>
      </c>
      <c r="O36" s="36">
        <f t="shared" si="13"/>
        <v>0.027016894300214034</v>
      </c>
      <c r="P36" s="36">
        <f t="shared" si="13"/>
        <v>0.024910391237960034</v>
      </c>
      <c r="Q36" s="38">
        <f t="shared" si="13"/>
        <v>0.01995682307979073</v>
      </c>
      <c r="R36" s="38">
        <f t="shared" si="13"/>
        <v>0.006214276486233984</v>
      </c>
      <c r="S36" s="38">
        <f t="shared" si="13"/>
        <v>0.001583432999947654</v>
      </c>
      <c r="T36" s="38">
        <f t="shared" si="13"/>
        <v>0.0014629274506249856</v>
      </c>
      <c r="U36" s="38">
        <f t="shared" si="13"/>
        <v>0.0013529129953122295</v>
      </c>
      <c r="V36" s="36">
        <f t="shared" si="13"/>
        <v>0.0006310446545525723</v>
      </c>
    </row>
    <row r="37" spans="1:22" s="45" customFormat="1" ht="75" hidden="1">
      <c r="A37" s="39"/>
      <c r="B37" s="40" t="s">
        <v>71</v>
      </c>
      <c r="C37" s="41">
        <f>+(C22+C23-C33+C13)/C6</f>
        <v>0.03214038806513095</v>
      </c>
      <c r="D37" s="41">
        <f>+(D22+D23-D33+D13)/D6</f>
        <v>0.027923386373280554</v>
      </c>
      <c r="E37" s="41">
        <f>+(E22+E23-E33+E13)/E6</f>
        <v>0.034690108197350564</v>
      </c>
      <c r="F37" s="41">
        <f>+(F22+F23-F33+F13)/F6</f>
        <v>0.12022661152577471</v>
      </c>
      <c r="G37" s="42">
        <f aca="true" t="shared" si="14" ref="G37:V37">+(G22+G23-G34)/G6</f>
        <v>0.09668759367188909</v>
      </c>
      <c r="H37" s="42">
        <f t="shared" si="14"/>
        <v>0.039571687055448876</v>
      </c>
      <c r="I37" s="42">
        <f t="shared" si="14"/>
        <v>0.03907272532566603</v>
      </c>
      <c r="J37" s="42">
        <f t="shared" si="14"/>
        <v>0.04639050609949715</v>
      </c>
      <c r="K37" s="43">
        <f t="shared" si="14"/>
        <v>0.04300725546881582</v>
      </c>
      <c r="L37" s="42">
        <f t="shared" si="14"/>
        <v>0.039883137012204216</v>
      </c>
      <c r="M37" s="42">
        <f t="shared" si="14"/>
        <v>0.035362993418881404</v>
      </c>
      <c r="N37" s="42">
        <f t="shared" si="14"/>
        <v>0.03198673151910272</v>
      </c>
      <c r="O37" s="42">
        <f t="shared" si="14"/>
        <v>0.02489923467781488</v>
      </c>
      <c r="P37" s="42">
        <f t="shared" si="14"/>
        <v>0.022940127440921224</v>
      </c>
      <c r="Q37" s="44">
        <f t="shared" si="14"/>
        <v>0.018119810435889203</v>
      </c>
      <c r="R37" s="44">
        <f t="shared" si="14"/>
        <v>0.0045096853225484</v>
      </c>
      <c r="S37" s="44">
        <f t="shared" si="14"/>
        <v>0</v>
      </c>
      <c r="T37" s="44">
        <f t="shared" si="14"/>
        <v>0</v>
      </c>
      <c r="U37" s="44">
        <f t="shared" si="14"/>
        <v>0</v>
      </c>
      <c r="V37" s="42">
        <f t="shared" si="14"/>
        <v>0</v>
      </c>
    </row>
    <row r="38" spans="1:22" s="45" customFormat="1" ht="60" hidden="1">
      <c r="A38" s="39"/>
      <c r="B38" s="40" t="s">
        <v>72</v>
      </c>
      <c r="C38" s="41">
        <f aca="true" t="shared" si="15" ref="C38:V38">+(C7+C9-C47)/C6</f>
        <v>0.15244042780435202</v>
      </c>
      <c r="D38" s="41">
        <f t="shared" si="15"/>
        <v>0.058107581881293176</v>
      </c>
      <c r="E38" s="41">
        <f t="shared" si="15"/>
        <v>0.029059385789429654</v>
      </c>
      <c r="F38" s="41">
        <f t="shared" si="15"/>
        <v>0.05291767358201451</v>
      </c>
      <c r="G38" s="42">
        <f t="shared" si="15"/>
        <v>0.02979195314668685</v>
      </c>
      <c r="H38" s="42">
        <f t="shared" si="15"/>
        <v>0.056153756473867125</v>
      </c>
      <c r="I38" s="42">
        <f t="shared" si="15"/>
        <v>0.13268777190183859</v>
      </c>
      <c r="J38" s="42">
        <f t="shared" si="15"/>
        <v>0.044849664700869034</v>
      </c>
      <c r="K38" s="43">
        <f t="shared" si="15"/>
        <v>0.057926504652374845</v>
      </c>
      <c r="L38" s="42">
        <f t="shared" si="15"/>
        <v>0.06894261689129022</v>
      </c>
      <c r="M38" s="42">
        <f t="shared" si="15"/>
        <v>0.07971671615747344</v>
      </c>
      <c r="N38" s="42">
        <f t="shared" si="15"/>
        <v>0.08935481599649074</v>
      </c>
      <c r="O38" s="42">
        <f t="shared" si="15"/>
        <v>0.09780379783209414</v>
      </c>
      <c r="P38" s="42">
        <f t="shared" si="15"/>
        <v>0.10497992446423388</v>
      </c>
      <c r="Q38" s="44">
        <f t="shared" si="15"/>
        <v>0.11126222717009523</v>
      </c>
      <c r="R38" s="44">
        <f t="shared" si="15"/>
        <v>0.11732055440186012</v>
      </c>
      <c r="S38" s="44">
        <f t="shared" si="15"/>
        <v>0.12257238819117834</v>
      </c>
      <c r="T38" s="44">
        <f t="shared" si="15"/>
        <v>0.12768361699783165</v>
      </c>
      <c r="U38" s="44">
        <f t="shared" si="15"/>
        <v>0.13276507165609674</v>
      </c>
      <c r="V38" s="42">
        <f t="shared" si="15"/>
        <v>0.13781692560761452</v>
      </c>
    </row>
    <row r="39" spans="1:23" s="23" customFormat="1" ht="62.25" customHeight="1">
      <c r="A39" s="18" t="s">
        <v>73</v>
      </c>
      <c r="B39" s="19" t="s">
        <v>74</v>
      </c>
      <c r="C39" s="46"/>
      <c r="D39" s="46"/>
      <c r="E39" s="47"/>
      <c r="F39" s="47">
        <f>+AVERAGE(C38:E38)</f>
        <v>0.07986913182502495</v>
      </c>
      <c r="G39" s="37">
        <f>+AVERAGE(D38,E38,F38)</f>
        <v>0.04669488041757911</v>
      </c>
      <c r="H39" s="37">
        <f>+AVERAGE(E38,F38,G38)</f>
        <v>0.03725633750604367</v>
      </c>
      <c r="I39" s="37">
        <f>+AVERAGE(F38,G38,H38)</f>
        <v>0.046287794400856154</v>
      </c>
      <c r="J39" s="37">
        <f aca="true" t="shared" si="16" ref="J39:V39">+AVERAGE(G38:I38)</f>
        <v>0.07287782717413085</v>
      </c>
      <c r="K39" s="37">
        <f t="shared" si="16"/>
        <v>0.07789706435885825</v>
      </c>
      <c r="L39" s="37">
        <f t="shared" si="16"/>
        <v>0.07848798041836082</v>
      </c>
      <c r="M39" s="37">
        <f t="shared" si="16"/>
        <v>0.0572395954148447</v>
      </c>
      <c r="N39" s="37">
        <f t="shared" si="16"/>
        <v>0.0688619459003795</v>
      </c>
      <c r="O39" s="37">
        <f t="shared" si="16"/>
        <v>0.07933804968175147</v>
      </c>
      <c r="P39" s="37">
        <f t="shared" si="16"/>
        <v>0.08895844332868612</v>
      </c>
      <c r="Q39" s="37">
        <f t="shared" si="16"/>
        <v>0.09737951276427292</v>
      </c>
      <c r="R39" s="37">
        <f t="shared" si="16"/>
        <v>0.10468198315547443</v>
      </c>
      <c r="S39" s="37">
        <f t="shared" si="16"/>
        <v>0.11118756867872974</v>
      </c>
      <c r="T39" s="37">
        <f t="shared" si="16"/>
        <v>0.1170517232543779</v>
      </c>
      <c r="U39" s="37">
        <f t="shared" si="16"/>
        <v>0.12252551986362337</v>
      </c>
      <c r="V39" s="37">
        <f t="shared" si="16"/>
        <v>0.12767369228170225</v>
      </c>
      <c r="W39" s="48"/>
    </row>
    <row r="40" spans="1:22" s="45" customFormat="1" ht="30" hidden="1">
      <c r="A40" s="39"/>
      <c r="B40" s="40" t="s">
        <v>75</v>
      </c>
      <c r="C40" s="41"/>
      <c r="D40" s="41"/>
      <c r="E40" s="49"/>
      <c r="F40" s="49"/>
      <c r="G40" s="49" t="e">
        <f>+AVERAGE(D38,F38,#REF!)</f>
        <v>#REF!</v>
      </c>
      <c r="H40" s="49" t="e">
        <f>+AVERAGE(F38,#REF!,G38)</f>
        <v>#REF!</v>
      </c>
      <c r="I40" s="49">
        <f>+AVERAGE(G38:H38)</f>
        <v>0.04297285481027699</v>
      </c>
      <c r="J40" s="49">
        <f aca="true" t="shared" si="17" ref="J40:O40">+AVERAGE(G38:I38)</f>
        <v>0.07287782717413085</v>
      </c>
      <c r="K40" s="50">
        <f t="shared" si="17"/>
        <v>0.07789706435885825</v>
      </c>
      <c r="L40" s="49">
        <f t="shared" si="17"/>
        <v>0.07848798041836082</v>
      </c>
      <c r="M40" s="49">
        <f t="shared" si="17"/>
        <v>0.0572395954148447</v>
      </c>
      <c r="N40" s="49">
        <f t="shared" si="17"/>
        <v>0.0688619459003795</v>
      </c>
      <c r="O40" s="49">
        <f t="shared" si="17"/>
        <v>0.07933804968175147</v>
      </c>
      <c r="P40" s="49">
        <f aca="true" t="shared" si="18" ref="P40:V40">+AVERAGE(L38:N38)</f>
        <v>0.07933804968175147</v>
      </c>
      <c r="Q40" s="51">
        <f t="shared" si="18"/>
        <v>0.08895844332868612</v>
      </c>
      <c r="R40" s="51">
        <f t="shared" si="18"/>
        <v>0.09737951276427292</v>
      </c>
      <c r="S40" s="51">
        <f t="shared" si="18"/>
        <v>0.10468198315547443</v>
      </c>
      <c r="T40" s="51">
        <f t="shared" si="18"/>
        <v>0.11118756867872974</v>
      </c>
      <c r="U40" s="51">
        <f t="shared" si="18"/>
        <v>0.1170517232543779</v>
      </c>
      <c r="V40" s="49">
        <f t="shared" si="18"/>
        <v>0.12252551986362337</v>
      </c>
    </row>
    <row r="41" spans="1:22" s="23" customFormat="1" ht="48" customHeight="1">
      <c r="A41" s="18">
        <v>16</v>
      </c>
      <c r="B41" s="13" t="s">
        <v>76</v>
      </c>
      <c r="C41" s="52" t="str">
        <f aca="true" t="shared" si="19" ref="C41:V41">IF(C36&lt;C39,"TAK","NIE")</f>
        <v>NIE</v>
      </c>
      <c r="D41" s="52" t="str">
        <f t="shared" si="19"/>
        <v>NIE</v>
      </c>
      <c r="E41" s="53" t="str">
        <f t="shared" si="19"/>
        <v>NIE</v>
      </c>
      <c r="F41" s="53" t="str">
        <f t="shared" si="19"/>
        <v>NIE</v>
      </c>
      <c r="G41" s="53" t="str">
        <f t="shared" si="19"/>
        <v>NIE</v>
      </c>
      <c r="H41" s="53" t="str">
        <f t="shared" si="19"/>
        <v>NIE</v>
      </c>
      <c r="I41" s="53" t="str">
        <f t="shared" si="19"/>
        <v>TAK</v>
      </c>
      <c r="J41" s="53" t="str">
        <f t="shared" si="19"/>
        <v>TAK</v>
      </c>
      <c r="K41" s="54" t="str">
        <f t="shared" si="19"/>
        <v>TAK</v>
      </c>
      <c r="L41" s="53" t="str">
        <f t="shared" si="19"/>
        <v>TAK</v>
      </c>
      <c r="M41" s="53" t="str">
        <f t="shared" si="19"/>
        <v>TAK</v>
      </c>
      <c r="N41" s="53" t="str">
        <f t="shared" si="19"/>
        <v>TAK</v>
      </c>
      <c r="O41" s="53" t="str">
        <f t="shared" si="19"/>
        <v>TAK</v>
      </c>
      <c r="P41" s="53" t="str">
        <f t="shared" si="19"/>
        <v>TAK</v>
      </c>
      <c r="Q41" s="55" t="str">
        <f t="shared" si="19"/>
        <v>TAK</v>
      </c>
      <c r="R41" s="55" t="str">
        <f t="shared" si="19"/>
        <v>TAK</v>
      </c>
      <c r="S41" s="55" t="str">
        <f t="shared" si="19"/>
        <v>TAK</v>
      </c>
      <c r="T41" s="55" t="str">
        <f t="shared" si="19"/>
        <v>TAK</v>
      </c>
      <c r="U41" s="55" t="str">
        <f t="shared" si="19"/>
        <v>TAK</v>
      </c>
      <c r="V41" s="53" t="str">
        <f t="shared" si="19"/>
        <v>TAK</v>
      </c>
    </row>
    <row r="42" spans="1:22" s="23" customFormat="1" ht="48" customHeight="1">
      <c r="A42" s="18">
        <v>17</v>
      </c>
      <c r="B42" s="19" t="s">
        <v>77</v>
      </c>
      <c r="C42" s="52"/>
      <c r="D42" s="52"/>
      <c r="E42" s="49"/>
      <c r="F42" s="49">
        <v>9770000</v>
      </c>
      <c r="G42" s="50">
        <v>8400000</v>
      </c>
      <c r="H42" s="49"/>
      <c r="I42" s="49"/>
      <c r="J42" s="49"/>
      <c r="K42" s="50"/>
      <c r="L42" s="49"/>
      <c r="M42" s="49"/>
      <c r="N42" s="49"/>
      <c r="O42" s="49"/>
      <c r="P42" s="49"/>
      <c r="Q42" s="51"/>
      <c r="R42" s="56"/>
      <c r="S42" s="56"/>
      <c r="T42" s="56"/>
      <c r="U42" s="56"/>
      <c r="V42" s="56"/>
    </row>
    <row r="43" spans="1:22" s="23" customFormat="1" ht="78.75" customHeight="1">
      <c r="A43" s="18">
        <v>18</v>
      </c>
      <c r="B43" s="19" t="s">
        <v>78</v>
      </c>
      <c r="C43" s="57">
        <f>+C21/C6</f>
        <v>0.03214038806513095</v>
      </c>
      <c r="D43" s="57">
        <f>+D21/D6</f>
        <v>0.027923386373280554</v>
      </c>
      <c r="E43" s="57">
        <f>+E21/E6</f>
        <v>0.034690108197350564</v>
      </c>
      <c r="F43" s="57">
        <f>+F21/F6</f>
        <v>0.12022661152577471</v>
      </c>
      <c r="G43" s="57">
        <f aca="true" t="shared" si="20" ref="G43:V43">+(G21+G13-G33)/G6</f>
        <v>0.1007666916917453</v>
      </c>
      <c r="H43" s="57">
        <f t="shared" si="20"/>
        <v>0.04380449454644833</v>
      </c>
      <c r="I43" s="57">
        <f t="shared" si="20"/>
        <v>0.04477061017397641</v>
      </c>
      <c r="J43" s="57">
        <f t="shared" si="20"/>
        <v>0.05307198012761669</v>
      </c>
      <c r="K43" s="58">
        <f t="shared" si="20"/>
        <v>0.04998025378420444</v>
      </c>
      <c r="L43" s="57">
        <f t="shared" si="20"/>
        <v>0.0464750676650896</v>
      </c>
      <c r="M43" s="57">
        <f t="shared" si="20"/>
        <v>0.04160381360547602</v>
      </c>
      <c r="N43" s="57">
        <f t="shared" si="20"/>
        <v>0.036387007011089774</v>
      </c>
      <c r="O43" s="57">
        <f t="shared" si="20"/>
        <v>0.027016894300214034</v>
      </c>
      <c r="P43" s="57">
        <f t="shared" si="20"/>
        <v>0.024910391237960034</v>
      </c>
      <c r="Q43" s="59">
        <f t="shared" si="20"/>
        <v>0.01995682307979073</v>
      </c>
      <c r="R43" s="59">
        <f t="shared" si="20"/>
        <v>0.006214276486233984</v>
      </c>
      <c r="S43" s="59">
        <f t="shared" si="20"/>
        <v>0.001583432999947654</v>
      </c>
      <c r="T43" s="59">
        <f t="shared" si="20"/>
        <v>0.0014629274506249856</v>
      </c>
      <c r="U43" s="59">
        <f t="shared" si="20"/>
        <v>0.0013529129953122295</v>
      </c>
      <c r="V43" s="57">
        <f t="shared" si="20"/>
        <v>0.0006310446545525723</v>
      </c>
    </row>
    <row r="44" spans="1:22" s="23" customFormat="1" ht="30" hidden="1">
      <c r="A44" s="18"/>
      <c r="B44" s="19" t="s">
        <v>79</v>
      </c>
      <c r="C44" s="60" t="str">
        <f aca="true" t="shared" si="21" ref="C44:Q44">IF(C36&lt;15%,"TAK","NIE")</f>
        <v>TAK</v>
      </c>
      <c r="D44" s="60" t="str">
        <f t="shared" si="21"/>
        <v>TAK</v>
      </c>
      <c r="E44" s="60" t="str">
        <f t="shared" si="21"/>
        <v>TAK</v>
      </c>
      <c r="F44" s="60" t="str">
        <f t="shared" si="21"/>
        <v>TAK</v>
      </c>
      <c r="G44" s="60" t="str">
        <f t="shared" si="21"/>
        <v>TAK</v>
      </c>
      <c r="H44" s="60" t="str">
        <f t="shared" si="21"/>
        <v>TAK</v>
      </c>
      <c r="I44" s="60" t="str">
        <f t="shared" si="21"/>
        <v>TAK</v>
      </c>
      <c r="J44" s="60" t="str">
        <f t="shared" si="21"/>
        <v>TAK</v>
      </c>
      <c r="K44" s="50" t="str">
        <f t="shared" si="21"/>
        <v>TAK</v>
      </c>
      <c r="L44" s="60" t="str">
        <f t="shared" si="21"/>
        <v>TAK</v>
      </c>
      <c r="M44" s="60" t="str">
        <f t="shared" si="21"/>
        <v>TAK</v>
      </c>
      <c r="N44" s="60" t="str">
        <f t="shared" si="21"/>
        <v>TAK</v>
      </c>
      <c r="O44" s="60" t="str">
        <f t="shared" si="21"/>
        <v>TAK</v>
      </c>
      <c r="P44" s="60" t="str">
        <f t="shared" si="21"/>
        <v>TAK</v>
      </c>
      <c r="Q44" s="61" t="str">
        <f t="shared" si="21"/>
        <v>TAK</v>
      </c>
      <c r="R44" s="56"/>
      <c r="S44" s="56"/>
      <c r="T44" s="56"/>
      <c r="U44" s="56"/>
      <c r="V44" s="56"/>
    </row>
    <row r="45" spans="1:22" s="23" customFormat="1" ht="77.25" customHeight="1">
      <c r="A45" s="18" t="s">
        <v>80</v>
      </c>
      <c r="B45" s="19" t="s">
        <v>81</v>
      </c>
      <c r="C45" s="60"/>
      <c r="D45" s="60"/>
      <c r="E45" s="58"/>
      <c r="F45" s="58"/>
      <c r="G45" s="58">
        <f aca="true" t="shared" si="22" ref="G45:V45">+(G21+G13-G42)/G6</f>
        <v>0.04934948976078453</v>
      </c>
      <c r="H45" s="58">
        <f t="shared" si="22"/>
        <v>0.04380449454644833</v>
      </c>
      <c r="I45" s="58">
        <f t="shared" si="22"/>
        <v>0.04477061017397641</v>
      </c>
      <c r="J45" s="58">
        <f t="shared" si="22"/>
        <v>0.05307198012761669</v>
      </c>
      <c r="K45" s="58">
        <f t="shared" si="22"/>
        <v>0.04998025378420444</v>
      </c>
      <c r="L45" s="58">
        <f t="shared" si="22"/>
        <v>0.0464750676650896</v>
      </c>
      <c r="M45" s="58">
        <f t="shared" si="22"/>
        <v>0.04160381360547602</v>
      </c>
      <c r="N45" s="58">
        <f t="shared" si="22"/>
        <v>0.036387007011089774</v>
      </c>
      <c r="O45" s="58">
        <f t="shared" si="22"/>
        <v>0.027016894300214034</v>
      </c>
      <c r="P45" s="58">
        <f t="shared" si="22"/>
        <v>0.024910391237960034</v>
      </c>
      <c r="Q45" s="62">
        <f t="shared" si="22"/>
        <v>0.01995682307979073</v>
      </c>
      <c r="R45" s="62">
        <f t="shared" si="22"/>
        <v>0.006214276486233984</v>
      </c>
      <c r="S45" s="62">
        <f t="shared" si="22"/>
        <v>0.001583432999947654</v>
      </c>
      <c r="T45" s="62">
        <f t="shared" si="22"/>
        <v>0.0014629274506249856</v>
      </c>
      <c r="U45" s="62">
        <f t="shared" si="22"/>
        <v>0.0013529129953122295</v>
      </c>
      <c r="V45" s="58">
        <f t="shared" si="22"/>
        <v>0.0006310446545525723</v>
      </c>
    </row>
    <row r="46" spans="1:22" s="23" customFormat="1" ht="47.25" customHeight="1">
      <c r="A46" s="18">
        <v>19</v>
      </c>
      <c r="B46" s="19" t="s">
        <v>82</v>
      </c>
      <c r="C46" s="57">
        <f aca="true" t="shared" si="23" ref="C46:V46">+(C32-C33)/C6</f>
        <v>0.10407758334799798</v>
      </c>
      <c r="D46" s="57">
        <f t="shared" si="23"/>
        <v>0.1256391971247334</v>
      </c>
      <c r="E46" s="57">
        <f t="shared" si="23"/>
        <v>0.3037556175006564</v>
      </c>
      <c r="F46" s="57">
        <f t="shared" si="23"/>
        <v>0.21973871997745467</v>
      </c>
      <c r="G46" s="57">
        <f t="shared" si="23"/>
        <v>0.21955455564060478</v>
      </c>
      <c r="H46" s="57">
        <f t="shared" si="23"/>
        <v>0.2568995493605529</v>
      </c>
      <c r="I46" s="57">
        <f t="shared" si="23"/>
        <v>0.2269230964900326</v>
      </c>
      <c r="J46" s="57">
        <f t="shared" si="23"/>
        <v>0.21034433483705098</v>
      </c>
      <c r="K46" s="58">
        <f t="shared" si="23"/>
        <v>0.16994185327775177</v>
      </c>
      <c r="L46" s="57">
        <f t="shared" si="23"/>
        <v>0.13241008527690082</v>
      </c>
      <c r="M46" s="57">
        <f t="shared" si="23"/>
        <v>0.09894338193274603</v>
      </c>
      <c r="N46" s="57">
        <f t="shared" si="23"/>
        <v>0.06837142839372486</v>
      </c>
      <c r="O46" s="57">
        <f t="shared" si="23"/>
        <v>0.044502565174129614</v>
      </c>
      <c r="P46" s="57">
        <f t="shared" si="23"/>
        <v>0.022302721985901868</v>
      </c>
      <c r="Q46" s="59">
        <f t="shared" si="23"/>
        <v>0.004530999814557651</v>
      </c>
      <c r="R46" s="59">
        <f t="shared" si="23"/>
        <v>0</v>
      </c>
      <c r="S46" s="59">
        <f t="shared" si="23"/>
        <v>0</v>
      </c>
      <c r="T46" s="59">
        <f t="shared" si="23"/>
        <v>0</v>
      </c>
      <c r="U46" s="59">
        <f t="shared" si="23"/>
        <v>0</v>
      </c>
      <c r="V46" s="57">
        <f t="shared" si="23"/>
        <v>0</v>
      </c>
    </row>
    <row r="47" spans="1:22" s="23" customFormat="1" ht="31.5" customHeight="1">
      <c r="A47" s="18">
        <v>20</v>
      </c>
      <c r="B47" s="19" t="s">
        <v>83</v>
      </c>
      <c r="C47" s="20">
        <f aca="true" t="shared" si="24" ref="C47:V47">C10+C23</f>
        <v>105041901</v>
      </c>
      <c r="D47" s="20">
        <f t="shared" si="24"/>
        <v>116007067</v>
      </c>
      <c r="E47" s="20">
        <f t="shared" si="24"/>
        <v>127608051</v>
      </c>
      <c r="F47" s="20">
        <f t="shared" si="24"/>
        <v>130867096</v>
      </c>
      <c r="G47" s="20">
        <f t="shared" si="24"/>
        <v>136177047</v>
      </c>
      <c r="H47" s="20">
        <f t="shared" si="24"/>
        <v>137982668</v>
      </c>
      <c r="I47" s="20">
        <f t="shared" si="24"/>
        <v>137238113.975</v>
      </c>
      <c r="J47" s="20">
        <f t="shared" si="24"/>
        <v>140295496.84937498</v>
      </c>
      <c r="K47" s="21">
        <f t="shared" si="24"/>
        <v>143494594.29560935</v>
      </c>
      <c r="L47" s="20">
        <f t="shared" si="24"/>
        <v>146780226.47799957</v>
      </c>
      <c r="M47" s="20">
        <f t="shared" si="24"/>
        <v>150014478.78547156</v>
      </c>
      <c r="N47" s="20">
        <f t="shared" si="24"/>
        <v>153342013.1403229</v>
      </c>
      <c r="O47" s="20">
        <f t="shared" si="24"/>
        <v>156780720.98369065</v>
      </c>
      <c r="P47" s="20">
        <f t="shared" si="24"/>
        <v>160355221.03129923</v>
      </c>
      <c r="Q47" s="22">
        <f t="shared" si="24"/>
        <v>164006549.4320504</v>
      </c>
      <c r="R47" s="22">
        <f t="shared" si="24"/>
        <v>167775209.9544196</v>
      </c>
      <c r="S47" s="22">
        <f t="shared" si="24"/>
        <v>171780277.20132568</v>
      </c>
      <c r="T47" s="22">
        <f t="shared" si="24"/>
        <v>175903003.8541575</v>
      </c>
      <c r="U47" s="22">
        <f t="shared" si="24"/>
        <v>180124675.9466573</v>
      </c>
      <c r="V47" s="20">
        <f t="shared" si="24"/>
        <v>184447668.1693771</v>
      </c>
    </row>
    <row r="48" spans="1:22" s="23" customFormat="1" ht="22.5" customHeight="1">
      <c r="A48" s="18">
        <v>21</v>
      </c>
      <c r="B48" s="19" t="s">
        <v>84</v>
      </c>
      <c r="C48" s="20">
        <f aca="true" t="shared" si="25" ref="C48:V48">C26+C47</f>
        <v>121883402</v>
      </c>
      <c r="D48" s="20">
        <f t="shared" si="25"/>
        <v>144302218</v>
      </c>
      <c r="E48" s="20">
        <f t="shared" si="25"/>
        <v>172687518</v>
      </c>
      <c r="F48" s="20">
        <f t="shared" si="25"/>
        <v>155320953</v>
      </c>
      <c r="G48" s="20">
        <f t="shared" si="25"/>
        <v>168877806</v>
      </c>
      <c r="H48" s="20">
        <f t="shared" si="25"/>
        <v>163765486</v>
      </c>
      <c r="I48" s="20">
        <f t="shared" si="25"/>
        <v>154174777.975</v>
      </c>
      <c r="J48" s="20">
        <f t="shared" si="25"/>
        <v>141872291.84937498</v>
      </c>
      <c r="K48" s="21">
        <f t="shared" si="25"/>
        <v>147306969.29560935</v>
      </c>
      <c r="L48" s="20">
        <f t="shared" si="25"/>
        <v>152638095.47799957</v>
      </c>
      <c r="M48" s="20">
        <f t="shared" si="25"/>
        <v>158263374.78547156</v>
      </c>
      <c r="N48" s="20">
        <f t="shared" si="25"/>
        <v>163772607.1403229</v>
      </c>
      <c r="O48" s="20">
        <f t="shared" si="25"/>
        <v>169997307.98369065</v>
      </c>
      <c r="P48" s="20">
        <f t="shared" si="25"/>
        <v>175426156.03129923</v>
      </c>
      <c r="Q48" s="22">
        <f t="shared" si="25"/>
        <v>181379045.4320504</v>
      </c>
      <c r="R48" s="22">
        <f t="shared" si="25"/>
        <v>189238757.9544196</v>
      </c>
      <c r="S48" s="22">
        <f t="shared" si="25"/>
        <v>195777150.20132568</v>
      </c>
      <c r="T48" s="22">
        <f t="shared" si="25"/>
        <v>201650464.8541575</v>
      </c>
      <c r="U48" s="22">
        <f t="shared" si="25"/>
        <v>207699977.9466573</v>
      </c>
      <c r="V48" s="20">
        <f t="shared" si="25"/>
        <v>213930978.1693771</v>
      </c>
    </row>
    <row r="49" spans="1:22" s="17" customFormat="1" ht="34.5" customHeight="1">
      <c r="A49" s="27">
        <v>22</v>
      </c>
      <c r="B49" s="13" t="s">
        <v>85</v>
      </c>
      <c r="C49" s="14">
        <f aca="true" t="shared" si="26" ref="C49:M49">C6-C48</f>
        <v>8043654</v>
      </c>
      <c r="D49" s="14">
        <f t="shared" si="26"/>
        <v>-6223335</v>
      </c>
      <c r="E49" s="14">
        <f t="shared" si="26"/>
        <v>-26451220</v>
      </c>
      <c r="F49" s="14">
        <f t="shared" si="26"/>
        <v>9261320</v>
      </c>
      <c r="G49" s="14">
        <f t="shared" si="26"/>
        <v>-5508356</v>
      </c>
      <c r="H49" s="14">
        <f t="shared" si="26"/>
        <v>-8195217</v>
      </c>
      <c r="I49" s="14">
        <f t="shared" si="26"/>
        <v>4059027.025000006</v>
      </c>
      <c r="J49" s="15">
        <f t="shared" si="26"/>
        <v>5010865.350625038</v>
      </c>
      <c r="K49" s="15">
        <f t="shared" si="26"/>
        <v>5010864.720790654</v>
      </c>
      <c r="L49" s="15">
        <f t="shared" si="26"/>
        <v>5010862.728974432</v>
      </c>
      <c r="M49" s="14">
        <f t="shared" si="26"/>
        <v>4745648.000539571</v>
      </c>
      <c r="N49" s="14">
        <f>N6-N48+1</f>
        <v>4615714.397626579</v>
      </c>
      <c r="O49" s="14">
        <f>O6-O48</f>
        <v>3779438.8114732206</v>
      </c>
      <c r="P49" s="14">
        <f>P6-P48</f>
        <v>3737669.9145146906</v>
      </c>
      <c r="Q49" s="16">
        <f>Q6-Q48+1</f>
        <v>3159696.2921379507</v>
      </c>
      <c r="R49" s="16">
        <f>R6-R48</f>
        <v>836144.9914943874</v>
      </c>
      <c r="S49" s="16">
        <f>S6-S48</f>
        <v>-0.16703426837921143</v>
      </c>
      <c r="T49" s="16">
        <f>T6-T48</f>
        <v>-0.31883734464645386</v>
      </c>
      <c r="U49" s="16">
        <f>U6-U48-1</f>
        <v>-0.47527751326560974</v>
      </c>
      <c r="V49" s="14">
        <f>V6-V48</f>
        <v>-0.34385591745376587</v>
      </c>
    </row>
    <row r="50" spans="1:22" s="23" customFormat="1" ht="30" customHeight="1">
      <c r="A50" s="18">
        <v>23</v>
      </c>
      <c r="B50" s="19" t="s">
        <v>86</v>
      </c>
      <c r="C50" s="20">
        <f aca="true" t="shared" si="27" ref="C50:V50">C17+C19+C28</f>
        <v>0</v>
      </c>
      <c r="D50" s="20">
        <f t="shared" si="27"/>
        <v>13317220</v>
      </c>
      <c r="E50" s="20">
        <f t="shared" si="27"/>
        <v>34915236</v>
      </c>
      <c r="F50" s="20">
        <f t="shared" si="27"/>
        <v>10626087</v>
      </c>
      <c r="G50" s="20">
        <f t="shared" si="27"/>
        <v>19218871</v>
      </c>
      <c r="H50" s="20">
        <f t="shared" si="27"/>
        <v>12459251</v>
      </c>
      <c r="I50" s="20">
        <f t="shared" si="27"/>
        <v>0</v>
      </c>
      <c r="J50" s="21">
        <f t="shared" si="27"/>
        <v>0.025000005960464478</v>
      </c>
      <c r="K50" s="21">
        <f t="shared" si="27"/>
        <v>0.37562504410743713</v>
      </c>
      <c r="L50" s="21">
        <f t="shared" si="27"/>
        <v>0.0964156985282898</v>
      </c>
      <c r="M50" s="20">
        <f t="shared" si="27"/>
        <v>-0.17460986971855164</v>
      </c>
      <c r="N50" s="20">
        <f t="shared" si="27"/>
        <v>-0.1740702986717224</v>
      </c>
      <c r="O50" s="20">
        <f t="shared" si="27"/>
        <v>0.2235562801361084</v>
      </c>
      <c r="P50" s="20">
        <f t="shared" si="27"/>
        <v>0.2235562801361084</v>
      </c>
      <c r="Q50" s="22">
        <f t="shared" si="27"/>
        <v>0.03502950072288513</v>
      </c>
      <c r="R50" s="22">
        <f t="shared" si="27"/>
        <v>0.1380709707736969</v>
      </c>
      <c r="S50" s="22">
        <f t="shared" si="27"/>
        <v>0.32716745138168335</v>
      </c>
      <c r="T50" s="22">
        <f t="shared" si="27"/>
        <v>0.12956535816192627</v>
      </c>
      <c r="U50" s="22">
        <f t="shared" si="27"/>
        <v>0.16013318300247192</v>
      </c>
      <c r="V50" s="20">
        <f t="shared" si="27"/>
        <v>-0.1892719864845276</v>
      </c>
    </row>
    <row r="51" spans="1:22" s="23" customFormat="1" ht="28.5" customHeight="1">
      <c r="A51" s="18">
        <v>24</v>
      </c>
      <c r="B51" s="19" t="s">
        <v>87</v>
      </c>
      <c r="C51" s="20">
        <f aca="true" t="shared" si="28" ref="C51:V51">C22+C24</f>
        <v>3890709</v>
      </c>
      <c r="D51" s="20">
        <f t="shared" si="28"/>
        <v>5338649</v>
      </c>
      <c r="E51" s="20">
        <f t="shared" si="28"/>
        <v>7780159</v>
      </c>
      <c r="F51" s="20">
        <f t="shared" si="28"/>
        <v>18059426</v>
      </c>
      <c r="G51" s="20">
        <f t="shared" si="28"/>
        <v>13710515</v>
      </c>
      <c r="H51" s="20">
        <f t="shared" si="28"/>
        <v>4264034</v>
      </c>
      <c r="I51" s="20">
        <f t="shared" si="28"/>
        <v>4059027</v>
      </c>
      <c r="J51" s="21">
        <f t="shared" si="28"/>
        <v>5010865</v>
      </c>
      <c r="K51" s="21">
        <f t="shared" si="28"/>
        <v>5010865</v>
      </c>
      <c r="L51" s="21">
        <f t="shared" si="28"/>
        <v>5010863</v>
      </c>
      <c r="M51" s="20">
        <f t="shared" si="28"/>
        <v>4745648</v>
      </c>
      <c r="N51" s="20">
        <f t="shared" si="28"/>
        <v>4615714</v>
      </c>
      <c r="O51" s="20">
        <f t="shared" si="28"/>
        <v>3779439</v>
      </c>
      <c r="P51" s="20">
        <f t="shared" si="28"/>
        <v>3737670</v>
      </c>
      <c r="Q51" s="22">
        <f t="shared" si="28"/>
        <v>3159696</v>
      </c>
      <c r="R51" s="22">
        <f t="shared" si="28"/>
        <v>836145</v>
      </c>
      <c r="S51" s="22">
        <f t="shared" si="28"/>
        <v>0</v>
      </c>
      <c r="T51" s="22">
        <f t="shared" si="28"/>
        <v>0</v>
      </c>
      <c r="U51" s="22">
        <f t="shared" si="28"/>
        <v>0</v>
      </c>
      <c r="V51" s="20">
        <f t="shared" si="28"/>
        <v>0</v>
      </c>
    </row>
    <row r="52" spans="1:22" s="23" customFormat="1" ht="15" hidden="1">
      <c r="A52" s="63">
        <v>24</v>
      </c>
      <c r="B52" s="64" t="s">
        <v>88</v>
      </c>
      <c r="C52" s="65">
        <f aca="true" t="shared" si="29" ref="C52:Q52">+C7-C47</f>
        <v>19161814</v>
      </c>
      <c r="D52" s="65">
        <f t="shared" si="29"/>
        <v>6695808</v>
      </c>
      <c r="E52" s="65">
        <f t="shared" si="29"/>
        <v>-714004</v>
      </c>
      <c r="F52" s="65">
        <f t="shared" si="29"/>
        <v>4524599</v>
      </c>
      <c r="G52" s="66">
        <f t="shared" si="29"/>
        <v>2174035</v>
      </c>
      <c r="H52" s="66">
        <f t="shared" si="29"/>
        <v>1483465</v>
      </c>
      <c r="I52" s="66">
        <f t="shared" si="29"/>
        <v>3995691.025000006</v>
      </c>
      <c r="J52" s="67">
        <f t="shared" si="29"/>
        <v>6587660.350625038</v>
      </c>
      <c r="K52" s="67">
        <f t="shared" si="29"/>
        <v>8823239.720790654</v>
      </c>
      <c r="L52" s="67">
        <f t="shared" si="29"/>
        <v>10868731.728974432</v>
      </c>
      <c r="M52" s="66">
        <f t="shared" si="29"/>
        <v>12994544.000539571</v>
      </c>
      <c r="N52" s="66">
        <f t="shared" si="29"/>
        <v>15046307.397626579</v>
      </c>
      <c r="O52" s="66">
        <f t="shared" si="29"/>
        <v>16996025.81147322</v>
      </c>
      <c r="P52" s="66">
        <f t="shared" si="29"/>
        <v>18808604.91451469</v>
      </c>
      <c r="Q52" s="66">
        <f t="shared" si="29"/>
        <v>20532191.29213795</v>
      </c>
      <c r="R52" s="20"/>
      <c r="S52" s="20"/>
      <c r="T52" s="20"/>
      <c r="U52" s="20"/>
      <c r="V52" s="20"/>
    </row>
    <row r="53" spans="1:22" s="23" customFormat="1" ht="15" hidden="1">
      <c r="A53" s="63">
        <v>25</v>
      </c>
      <c r="B53" s="64" t="s">
        <v>89</v>
      </c>
      <c r="C53" s="65">
        <f aca="true" t="shared" si="30" ref="C53:Q53">+C7+C17-C47</f>
        <v>19161814</v>
      </c>
      <c r="D53" s="65">
        <f t="shared" si="30"/>
        <v>10848753</v>
      </c>
      <c r="E53" s="65">
        <f t="shared" si="30"/>
        <v>1041232</v>
      </c>
      <c r="F53" s="65">
        <f t="shared" si="30"/>
        <v>5208456</v>
      </c>
      <c r="G53" s="66">
        <f t="shared" si="30"/>
        <v>3975272</v>
      </c>
      <c r="H53" s="66">
        <f t="shared" si="30"/>
        <v>3781257</v>
      </c>
      <c r="I53" s="66">
        <f t="shared" si="30"/>
        <v>3995691.025000006</v>
      </c>
      <c r="J53" s="67">
        <f t="shared" si="30"/>
        <v>6587660.375625044</v>
      </c>
      <c r="K53" s="67">
        <f t="shared" si="30"/>
        <v>8823240.096415699</v>
      </c>
      <c r="L53" s="67">
        <f t="shared" si="30"/>
        <v>10868731.82539013</v>
      </c>
      <c r="M53" s="66">
        <f t="shared" si="30"/>
        <v>12994543.825929701</v>
      </c>
      <c r="N53" s="66">
        <f t="shared" si="30"/>
        <v>15046307.22355628</v>
      </c>
      <c r="O53" s="66">
        <f t="shared" si="30"/>
        <v>16996026.0350295</v>
      </c>
      <c r="P53" s="66">
        <f t="shared" si="30"/>
        <v>18808605.13807097</v>
      </c>
      <c r="Q53" s="66">
        <f t="shared" si="30"/>
        <v>20532191.32716745</v>
      </c>
      <c r="R53" s="20"/>
      <c r="S53" s="20"/>
      <c r="T53" s="20"/>
      <c r="U53" s="20"/>
      <c r="V53" s="20"/>
    </row>
    <row r="54" spans="1:22" s="23" customFormat="1" ht="15" hidden="1">
      <c r="A54" s="63">
        <v>24</v>
      </c>
      <c r="B54" s="64" t="s">
        <v>90</v>
      </c>
      <c r="C54" s="65">
        <f aca="true" t="shared" si="31" ref="C54:Q54">+C7-C47</f>
        <v>19161814</v>
      </c>
      <c r="D54" s="65">
        <f t="shared" si="31"/>
        <v>6695808</v>
      </c>
      <c r="E54" s="65">
        <f t="shared" si="31"/>
        <v>-714004</v>
      </c>
      <c r="F54" s="65">
        <f t="shared" si="31"/>
        <v>4524599</v>
      </c>
      <c r="G54" s="66">
        <f t="shared" si="31"/>
        <v>2174035</v>
      </c>
      <c r="H54" s="66">
        <f t="shared" si="31"/>
        <v>1483465</v>
      </c>
      <c r="I54" s="66">
        <f t="shared" si="31"/>
        <v>3995691.025000006</v>
      </c>
      <c r="J54" s="67">
        <f t="shared" si="31"/>
        <v>6587660.350625038</v>
      </c>
      <c r="K54" s="67">
        <f t="shared" si="31"/>
        <v>8823239.720790654</v>
      </c>
      <c r="L54" s="67">
        <f t="shared" si="31"/>
        <v>10868731.728974432</v>
      </c>
      <c r="M54" s="66">
        <f t="shared" si="31"/>
        <v>12994544.000539571</v>
      </c>
      <c r="N54" s="66">
        <f t="shared" si="31"/>
        <v>15046307.397626579</v>
      </c>
      <c r="O54" s="66">
        <f t="shared" si="31"/>
        <v>16996025.81147322</v>
      </c>
      <c r="P54" s="66">
        <f t="shared" si="31"/>
        <v>18808604.91451469</v>
      </c>
      <c r="Q54" s="66">
        <f t="shared" si="31"/>
        <v>20532191.29213795</v>
      </c>
      <c r="R54" s="20"/>
      <c r="S54" s="20"/>
      <c r="T54" s="20"/>
      <c r="U54" s="20"/>
      <c r="V54" s="20"/>
    </row>
    <row r="55" spans="1:22" s="23" customFormat="1" ht="24.75" customHeight="1">
      <c r="A55" s="18">
        <v>25</v>
      </c>
      <c r="B55" s="68" t="s">
        <v>91</v>
      </c>
      <c r="C55" s="32"/>
      <c r="D55" s="32"/>
      <c r="E55" s="32"/>
      <c r="F55" s="32"/>
      <c r="G55" s="20"/>
      <c r="H55" s="20"/>
      <c r="I55" s="20"/>
      <c r="J55" s="21"/>
      <c r="K55" s="21"/>
      <c r="L55" s="21"/>
      <c r="M55" s="20"/>
      <c r="N55" s="20"/>
      <c r="O55" s="20"/>
      <c r="P55" s="20"/>
      <c r="Q55" s="22"/>
      <c r="R55" s="20"/>
      <c r="S55" s="20"/>
      <c r="T55" s="20"/>
      <c r="U55" s="20"/>
      <c r="V55" s="20"/>
    </row>
    <row r="56" spans="1:22" s="23" customFormat="1" ht="21.75" customHeight="1">
      <c r="A56" s="69"/>
      <c r="B56" s="68" t="s">
        <v>92</v>
      </c>
      <c r="C56" s="32"/>
      <c r="D56" s="32"/>
      <c r="E56" s="32"/>
      <c r="F56" s="20">
        <f>F49</f>
        <v>9261320</v>
      </c>
      <c r="G56" s="20"/>
      <c r="H56" s="20"/>
      <c r="I56" s="20">
        <f aca="true" t="shared" si="32" ref="I56:V56">I49</f>
        <v>4059027.025000006</v>
      </c>
      <c r="J56" s="21">
        <f t="shared" si="32"/>
        <v>5010865.350625038</v>
      </c>
      <c r="K56" s="21">
        <f t="shared" si="32"/>
        <v>5010864.720790654</v>
      </c>
      <c r="L56" s="21">
        <f t="shared" si="32"/>
        <v>5010862.728974432</v>
      </c>
      <c r="M56" s="20">
        <f t="shared" si="32"/>
        <v>4745648.000539571</v>
      </c>
      <c r="N56" s="20">
        <f t="shared" si="32"/>
        <v>4615714.397626579</v>
      </c>
      <c r="O56" s="20">
        <f t="shared" si="32"/>
        <v>3779438.8114732206</v>
      </c>
      <c r="P56" s="20">
        <f t="shared" si="32"/>
        <v>3737669.9145146906</v>
      </c>
      <c r="Q56" s="22">
        <f t="shared" si="32"/>
        <v>3159696.2921379507</v>
      </c>
      <c r="R56" s="22">
        <f t="shared" si="32"/>
        <v>836144.9914943874</v>
      </c>
      <c r="S56" s="22">
        <f t="shared" si="32"/>
        <v>-0.16703426837921143</v>
      </c>
      <c r="T56" s="22">
        <f t="shared" si="32"/>
        <v>-0.31883734464645386</v>
      </c>
      <c r="U56" s="22">
        <f t="shared" si="32"/>
        <v>-0.47527751326560974</v>
      </c>
      <c r="V56" s="20">
        <f t="shared" si="32"/>
        <v>-0.34385591745376587</v>
      </c>
    </row>
    <row r="57" spans="1:22" s="23" customFormat="1" ht="23.25" customHeight="1">
      <c r="A57" s="70"/>
      <c r="B57" s="68" t="s">
        <v>93</v>
      </c>
      <c r="C57" s="32"/>
      <c r="D57" s="32"/>
      <c r="E57" s="32"/>
      <c r="F57" s="32"/>
      <c r="G57" s="20"/>
      <c r="H57" s="20"/>
      <c r="I57" s="20"/>
      <c r="J57" s="20"/>
      <c r="K57" s="21"/>
      <c r="L57" s="20"/>
      <c r="M57" s="20"/>
      <c r="N57" s="20"/>
      <c r="O57" s="20"/>
      <c r="P57" s="20"/>
      <c r="Q57" s="22"/>
      <c r="R57" s="20"/>
      <c r="S57" s="20"/>
      <c r="T57" s="20"/>
      <c r="U57" s="20"/>
      <c r="V57" s="20"/>
    </row>
    <row r="58" spans="1:22" s="23" customFormat="1" ht="31.5" customHeight="1">
      <c r="A58" s="18">
        <v>26</v>
      </c>
      <c r="B58" s="19" t="s">
        <v>94</v>
      </c>
      <c r="C58" s="32"/>
      <c r="D58" s="32"/>
      <c r="E58" s="32"/>
      <c r="F58" s="32"/>
      <c r="G58" s="20"/>
      <c r="H58" s="20"/>
      <c r="I58" s="20"/>
      <c r="J58" s="20"/>
      <c r="K58" s="21"/>
      <c r="L58" s="20"/>
      <c r="M58" s="20"/>
      <c r="N58" s="20"/>
      <c r="O58" s="20"/>
      <c r="P58" s="20"/>
      <c r="Q58" s="22"/>
      <c r="R58" s="20"/>
      <c r="S58" s="20"/>
      <c r="T58" s="20"/>
      <c r="U58" s="20"/>
      <c r="V58" s="20"/>
    </row>
    <row r="59" spans="1:22" s="23" customFormat="1" ht="23.25" customHeight="1">
      <c r="A59" s="69"/>
      <c r="B59" s="68" t="s">
        <v>95</v>
      </c>
      <c r="C59" s="32"/>
      <c r="D59" s="32"/>
      <c r="E59" s="32"/>
      <c r="F59" s="20">
        <f>F50</f>
        <v>10626087</v>
      </c>
      <c r="G59" s="20">
        <v>13710515</v>
      </c>
      <c r="H59" s="20">
        <f aca="true" t="shared" si="33" ref="H59:V59">H51</f>
        <v>4264034</v>
      </c>
      <c r="I59" s="20">
        <f t="shared" si="33"/>
        <v>4059027</v>
      </c>
      <c r="J59" s="20">
        <f t="shared" si="33"/>
        <v>5010865</v>
      </c>
      <c r="K59" s="21">
        <f t="shared" si="33"/>
        <v>5010865</v>
      </c>
      <c r="L59" s="20">
        <f t="shared" si="33"/>
        <v>5010863</v>
      </c>
      <c r="M59" s="20">
        <f t="shared" si="33"/>
        <v>4745648</v>
      </c>
      <c r="N59" s="20">
        <f t="shared" si="33"/>
        <v>4615714</v>
      </c>
      <c r="O59" s="20">
        <f t="shared" si="33"/>
        <v>3779439</v>
      </c>
      <c r="P59" s="20">
        <f t="shared" si="33"/>
        <v>3737670</v>
      </c>
      <c r="Q59" s="22">
        <f t="shared" si="33"/>
        <v>3159696</v>
      </c>
      <c r="R59" s="22">
        <f t="shared" si="33"/>
        <v>836145</v>
      </c>
      <c r="S59" s="22">
        <f t="shared" si="33"/>
        <v>0</v>
      </c>
      <c r="T59" s="22">
        <f t="shared" si="33"/>
        <v>0</v>
      </c>
      <c r="U59" s="22">
        <f t="shared" si="33"/>
        <v>0</v>
      </c>
      <c r="V59" s="20">
        <f t="shared" si="33"/>
        <v>0</v>
      </c>
    </row>
    <row r="60" spans="1:22" s="23" customFormat="1" ht="22.5" customHeight="1">
      <c r="A60" s="71"/>
      <c r="B60" s="68" t="s">
        <v>96</v>
      </c>
      <c r="C60" s="32"/>
      <c r="D60" s="32"/>
      <c r="E60" s="32"/>
      <c r="F60" s="32"/>
      <c r="G60" s="20"/>
      <c r="H60" s="20"/>
      <c r="I60" s="20"/>
      <c r="J60" s="20"/>
      <c r="K60" s="21"/>
      <c r="L60" s="20"/>
      <c r="M60" s="20"/>
      <c r="N60" s="20"/>
      <c r="O60" s="20"/>
      <c r="P60" s="20"/>
      <c r="Q60" s="22"/>
      <c r="R60" s="20"/>
      <c r="S60" s="20"/>
      <c r="T60" s="20"/>
      <c r="U60" s="20"/>
      <c r="V60" s="20"/>
    </row>
    <row r="61" spans="1:22" s="23" customFormat="1" ht="26.25" customHeight="1">
      <c r="A61" s="70"/>
      <c r="B61" s="68" t="s">
        <v>97</v>
      </c>
      <c r="C61" s="32"/>
      <c r="D61" s="32"/>
      <c r="E61" s="32"/>
      <c r="F61" s="32"/>
      <c r="G61" s="20"/>
      <c r="H61" s="20"/>
      <c r="I61" s="20"/>
      <c r="J61" s="20"/>
      <c r="K61" s="21"/>
      <c r="L61" s="20"/>
      <c r="M61" s="20"/>
      <c r="N61" s="20"/>
      <c r="O61" s="20"/>
      <c r="P61" s="20"/>
      <c r="Q61" s="22"/>
      <c r="R61" s="20"/>
      <c r="S61" s="20"/>
      <c r="T61" s="20"/>
      <c r="U61" s="20"/>
      <c r="V61" s="20"/>
    </row>
  </sheetData>
  <sheetProtection/>
  <mergeCells count="4">
    <mergeCell ref="A31:B31"/>
    <mergeCell ref="A5:B5"/>
    <mergeCell ref="U3:V3"/>
    <mergeCell ref="A3:T3"/>
  </mergeCells>
  <printOptions/>
  <pageMargins left="0.5511811023622047" right="0.1968503937007874" top="0.35433070866141736" bottom="0.4724409448818898" header="0.5118110236220472" footer="0.5118110236220472"/>
  <pageSetup fitToHeight="0" horizontalDpi="600" verticalDpi="600" orientation="landscape" paperSize="9" scale="50" r:id="rId1"/>
  <rowBreaks count="1" manualBreakCount="1">
    <brk id="30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jwisniewski</dc:creator>
  <cp:keywords/>
  <dc:description/>
  <cp:lastModifiedBy>aolszar</cp:lastModifiedBy>
  <cp:lastPrinted>2013-01-28T08:31:27Z</cp:lastPrinted>
  <dcterms:created xsi:type="dcterms:W3CDTF">2013-01-28T07:08:38Z</dcterms:created>
  <dcterms:modified xsi:type="dcterms:W3CDTF">2013-02-12T13:52:07Z</dcterms:modified>
  <cp:category/>
  <cp:version/>
  <cp:contentType/>
  <cp:contentStatus/>
</cp:coreProperties>
</file>