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Wieloletnia Prognoza Finansowa" sheetId="1" r:id="rId1"/>
  </sheets>
  <definedNames>
    <definedName name="_xlnm.Print_Area" localSheetId="0">'Wieloletnia Prognoza Finansowa'!$A$2:$Q$60</definedName>
    <definedName name="_xlnm.Print_Titles" localSheetId="0">'Wieloletnia Prognoza Finansowa'!$A:$B,'Wieloletnia Prognoza Finansowa'!$4:$4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<sst xmlns="http://schemas.openxmlformats.org/spreadsheetml/2006/main" count="89" uniqueCount="89">
  <si>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</si>
  <si>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</si>
  <si>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</si>
  <si>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</si>
  <si>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</si>
  <si>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</si>
  <si>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Wykonanie 2010</t>
  </si>
  <si>
    <t>Plan 3kw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</si>
  <si>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</si>
  <si>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</si>
  <si>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</si>
  <si>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</si>
  <si>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</si>
  <si>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</si>
  <si>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</si>
  <si>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</si>
  <si>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</si>
  <si>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</si>
  <si>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</si>
  <si>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</si>
  <si>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</si>
  <si>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</si>
  <si>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</si>
  <si>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</si>
  <si>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</si>
  <si>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</si>
  <si>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</si>
  <si>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</si>
  <si>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</si>
  <si>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</si>
  <si>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</si>
  <si>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</si>
  <si>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</si>
  <si>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</si>
  <si>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</si>
  <si>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</si>
  <si>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</si>
  <si>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</si>
  <si>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(1-2)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</si>
  <si>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</si>
  <si>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</si>
  <si>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</si>
  <si>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</si>
  <si>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</si>
  <si>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</si>
  <si>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</si>
  <si>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</si>
  <si>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</si>
  <si>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</si>
  <si>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</si>
  <si>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(6-7-8)</t>
  </si>
  <si>
    <t>Wydatki majątkowe, w tym:</t>
  </si>
  <si>
    <t>10a</t>
  </si>
  <si>
    <t>wydatki majątkowe objęte limitem art.226 ust.4 ufp (przedsięwzięcia WPF)</t>
  </si>
  <si>
    <t>Przychody (kredyty, pożyczki, emisje obligacji)</t>
  </si>
  <si>
    <t>Rozliczenie budżetu (9-10+11)</t>
  </si>
  <si>
    <t>CZĘŚĆ II - Prognoza kwoty długu</t>
  </si>
  <si>
    <t xml:space="preserve">Kwota długu, 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</si>
  <si>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</si>
  <si>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</si>
  <si>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</si>
  <si>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</si>
  <si>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</si>
  <si>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</si>
  <si>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</si>
  <si>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</si>
  <si>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</si>
  <si>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</si>
  <si>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</si>
  <si>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art243 ufp po uwzględnieniu art.244 ufp</t>
  </si>
  <si>
    <t>łączna kwota wyłączeń z art.243 ust.3 pkt 1 ufp oraz art.169 ust.3 sufp</t>
  </si>
  <si>
    <r>
      <t xml:space="preserve">Planowana łączna kwota spłaty zobowiązań do dochodów ogółem - max 15% z art. </t>
    </r>
    <r>
      <rPr>
        <sz val="10"/>
        <rFont val="Arial"/>
        <family val="2"/>
      </rPr>
      <t xml:space="preserve">169 sufp </t>
    </r>
  </si>
  <si>
    <t>Spełnienie wskaźnika spłaty z art.169 sufp</t>
  </si>
  <si>
    <t>Zadłużenie / dochody ogółem                                 [(13-13a):1]-max 60% z art..170 sufp</t>
  </si>
  <si>
    <t>Wydatki bieżące razem (2+7b)</t>
  </si>
  <si>
    <t>Wydatki ogółem (10+19)</t>
  </si>
  <si>
    <t>Wynik budżetu (1-21) (nadwyżka/deficyt)</t>
  </si>
  <si>
    <t>Przychody budżetu (4+5+11)</t>
  </si>
  <si>
    <t>Rozchody budżetu (7a+8)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</si>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</sst>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0" xfId="0" applyFill="1" applyBorder="1" applyAlignment="1">
      <alignment vertical="top" wrapText="1"/>
    </xf>
    <xf numFmtId="3" fontId="0" fillId="2" borderId="1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52" applyNumberFormat="1" applyBorder="1" applyAlignment="1">
      <alignment/>
    </xf>
    <xf numFmtId="0" fontId="0" fillId="15" borderId="10" xfId="0" applyFill="1" applyBorder="1" applyAlignment="1">
      <alignment horizontal="center" vertical="top"/>
    </xf>
    <xf numFmtId="0" fontId="0" fillId="15" borderId="10" xfId="0" applyFill="1" applyBorder="1" applyAlignment="1">
      <alignment vertical="top" wrapText="1"/>
    </xf>
    <xf numFmtId="4" fontId="0" fillId="15" borderId="10" xfId="52" applyNumberFormat="1" applyFill="1" applyBorder="1" applyAlignment="1">
      <alignment/>
    </xf>
    <xf numFmtId="0" fontId="0" fillId="15" borderId="0" xfId="0" applyFill="1" applyBorder="1" applyAlignment="1">
      <alignment/>
    </xf>
    <xf numFmtId="2" fontId="0" fillId="18" borderId="10" xfId="52" applyNumberFormat="1" applyFill="1" applyBorder="1" applyAlignment="1">
      <alignment/>
    </xf>
    <xf numFmtId="4" fontId="0" fillId="18" borderId="10" xfId="52" applyNumberFormat="1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" fontId="0" fillId="0" borderId="10" xfId="52" applyNumberFormat="1" applyFill="1" applyBorder="1" applyAlignment="1">
      <alignment/>
    </xf>
    <xf numFmtId="10" fontId="0" fillId="0" borderId="10" xfId="52" applyNumberFormat="1" applyBorder="1" applyAlignment="1">
      <alignment/>
    </xf>
    <xf numFmtId="10" fontId="0" fillId="18" borderId="10" xfId="52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0" fillId="0" borderId="10" xfId="52" applyNumberFormat="1" applyFont="1" applyFill="1" applyBorder="1" applyAlignment="1">
      <alignment/>
    </xf>
    <xf numFmtId="3" fontId="0" fillId="0" borderId="10" xfId="52" applyNumberFormat="1" applyFont="1" applyFill="1" applyBorder="1" applyAlignment="1">
      <alignment/>
    </xf>
    <xf numFmtId="10" fontId="0" fillId="0" borderId="10" xfId="5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2" fontId="0" fillId="18" borderId="10" xfId="52" applyNumberFormat="1" applyFont="1" applyFill="1" applyBorder="1" applyAlignment="1">
      <alignment/>
    </xf>
    <xf numFmtId="3" fontId="0" fillId="18" borderId="10" xfId="52" applyNumberFormat="1" applyFont="1" applyFill="1" applyBorder="1" applyAlignment="1">
      <alignment/>
    </xf>
    <xf numFmtId="0" fontId="19" fillId="0" borderId="17" xfId="0" applyFont="1" applyBorder="1" applyAlignment="1">
      <alignment horizontal="right" vertical="top"/>
    </xf>
    <xf numFmtId="0" fontId="19" fillId="0" borderId="17" xfId="0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0" fillId="0" borderId="18" xfId="0" applyNumberFormat="1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0"/>
  <sheetViews>
    <sheetView tabSelected="1" view="pageBreakPreview" zoomScaleSheetLayoutView="100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8" sqref="G18"/>
    </sheetView>
  </sheetViews>
  <sheetFormatPr defaultColWidth="9.140625" defaultRowHeight="12.75"/>
  <cols>
    <col min="1" max="1" width="4.140625" style="47" customWidth="1"/>
    <col min="2" max="2" width="34.57421875" style="48" customWidth="1"/>
    <col min="3" max="3" width="14.00390625" style="49" hidden="1" customWidth="1"/>
    <col min="4" max="4" width="14.140625" style="49" hidden="1" customWidth="1"/>
    <col min="5" max="5" width="13.8515625" style="49" hidden="1" customWidth="1"/>
    <col min="6" max="6" width="14.421875" style="49" hidden="1" customWidth="1"/>
    <col min="7" max="7" width="14.28125" style="49" customWidth="1"/>
    <col min="8" max="9" width="13.8515625" style="49" customWidth="1"/>
    <col min="10" max="10" width="14.57421875" style="49" bestFit="1" customWidth="1"/>
    <col min="11" max="11" width="13.421875" style="65" customWidth="1"/>
    <col min="12" max="12" width="13.421875" style="49" customWidth="1"/>
    <col min="13" max="17" width="13.57421875" style="49" bestFit="1" customWidth="1"/>
    <col min="18" max="19" width="9.140625" style="1" customWidth="1"/>
    <col min="20" max="20" width="10.7109375" style="1" bestFit="1" customWidth="1"/>
    <col min="21" max="16384" width="9.140625" style="1" customWidth="1"/>
  </cols>
  <sheetData>
    <row r="3" spans="1:17" ht="22.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9" t="s">
        <v>1</v>
      </c>
      <c r="P3" s="69"/>
      <c r="Q3" s="69"/>
    </row>
    <row r="4" spans="1:17" s="6" customFormat="1" ht="25.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7" t="s">
        <v>12</v>
      </c>
      <c r="L4" s="5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s="6" customFormat="1" ht="22.5" customHeight="1">
      <c r="A5" s="73" t="s">
        <v>19</v>
      </c>
      <c r="B5" s="74"/>
      <c r="C5" s="4"/>
      <c r="D5" s="4"/>
      <c r="E5" s="4"/>
      <c r="F5" s="4"/>
      <c r="G5" s="4"/>
      <c r="H5" s="4"/>
      <c r="I5" s="4"/>
      <c r="J5" s="4"/>
      <c r="K5" s="57"/>
      <c r="L5" s="5"/>
      <c r="M5" s="4"/>
      <c r="N5" s="4"/>
      <c r="O5" s="4"/>
      <c r="P5" s="4"/>
      <c r="Q5" s="4"/>
    </row>
    <row r="6" spans="1:17" s="10" customFormat="1" ht="12.75">
      <c r="A6" s="7">
        <v>1</v>
      </c>
      <c r="B6" s="8" t="s">
        <v>20</v>
      </c>
      <c r="C6" s="9">
        <f aca="true" t="shared" si="0" ref="C6:Q6">C7+C8</f>
        <v>129927056</v>
      </c>
      <c r="D6" s="9">
        <f t="shared" si="0"/>
        <v>138078883</v>
      </c>
      <c r="E6" s="9">
        <f t="shared" si="0"/>
        <v>146236298</v>
      </c>
      <c r="F6" s="9">
        <f t="shared" si="0"/>
        <v>179495469</v>
      </c>
      <c r="G6" s="9">
        <f t="shared" si="0"/>
        <v>161352180</v>
      </c>
      <c r="H6" s="9">
        <f t="shared" si="0"/>
        <v>146961800</v>
      </c>
      <c r="I6" s="9">
        <f t="shared" si="0"/>
        <v>151073073</v>
      </c>
      <c r="J6" s="9">
        <f t="shared" si="0"/>
        <v>152955995.92000002</v>
      </c>
      <c r="K6" s="58">
        <f t="shared" si="0"/>
        <v>158615367.76904002</v>
      </c>
      <c r="L6" s="9">
        <f t="shared" si="0"/>
        <v>164166905.6409564</v>
      </c>
      <c r="M6" s="9">
        <f t="shared" si="0"/>
        <v>169748580.4327489</v>
      </c>
      <c r="N6" s="9">
        <f t="shared" si="0"/>
        <v>175350283.5870296</v>
      </c>
      <c r="O6" s="9">
        <f t="shared" si="0"/>
        <v>180961492.66181457</v>
      </c>
      <c r="P6" s="9">
        <f t="shared" si="0"/>
        <v>186571298.93433082</v>
      </c>
      <c r="Q6" s="9">
        <f t="shared" si="0"/>
        <v>192168437.90236074</v>
      </c>
    </row>
    <row r="7" spans="1:17" ht="12.75">
      <c r="A7" s="11" t="s">
        <v>21</v>
      </c>
      <c r="B7" s="12" t="s">
        <v>22</v>
      </c>
      <c r="C7" s="13">
        <v>124203715</v>
      </c>
      <c r="D7" s="13">
        <v>122702875</v>
      </c>
      <c r="E7" s="13">
        <v>126894047</v>
      </c>
      <c r="F7" s="13">
        <v>131666015</v>
      </c>
      <c r="G7" s="14">
        <f>133327188+96504+136036+2169</f>
        <v>133561897</v>
      </c>
      <c r="H7" s="13">
        <f>141521415+31110</f>
        <v>141552525</v>
      </c>
      <c r="I7" s="13">
        <f>147040750+32323</f>
        <v>147073073</v>
      </c>
      <c r="J7" s="13">
        <f>I7*1.04</f>
        <v>152955995.92000002</v>
      </c>
      <c r="K7" s="59">
        <f>J7*1.037</f>
        <v>158615367.76904002</v>
      </c>
      <c r="L7" s="13">
        <f>K7*1.035</f>
        <v>164166905.6409564</v>
      </c>
      <c r="M7" s="13">
        <f>L7*1.034</f>
        <v>169748580.4327489</v>
      </c>
      <c r="N7" s="13">
        <f>M7*1.033</f>
        <v>175350283.5870296</v>
      </c>
      <c r="O7" s="13">
        <f>N7*1.032</f>
        <v>180961492.66181457</v>
      </c>
      <c r="P7" s="13">
        <f>O7*1.031</f>
        <v>186571298.93433082</v>
      </c>
      <c r="Q7" s="13">
        <f>P7*1.03</f>
        <v>192168437.90236074</v>
      </c>
    </row>
    <row r="8" spans="1:17" ht="12.75">
      <c r="A8" s="11" t="s">
        <v>23</v>
      </c>
      <c r="B8" s="12" t="s">
        <v>24</v>
      </c>
      <c r="C8" s="13">
        <v>5723341</v>
      </c>
      <c r="D8" s="13">
        <v>15376008</v>
      </c>
      <c r="E8" s="13">
        <v>19342251</v>
      </c>
      <c r="F8" s="13">
        <v>47829454</v>
      </c>
      <c r="G8" s="15">
        <f>29199558-1409275</f>
        <v>27790283</v>
      </c>
      <c r="H8" s="15">
        <f>4000000+1409275</f>
        <v>5409275</v>
      </c>
      <c r="I8" s="13">
        <v>4000000</v>
      </c>
      <c r="J8" s="13"/>
      <c r="K8" s="59"/>
      <c r="L8" s="13"/>
      <c r="M8" s="13"/>
      <c r="N8" s="13"/>
      <c r="O8" s="13"/>
      <c r="P8" s="13"/>
      <c r="Q8" s="13"/>
    </row>
    <row r="9" spans="1:17" ht="12.75">
      <c r="A9" s="11" t="s">
        <v>25</v>
      </c>
      <c r="B9" s="12" t="s">
        <v>26</v>
      </c>
      <c r="C9" s="13">
        <v>644322</v>
      </c>
      <c r="D9" s="13">
        <v>1327622</v>
      </c>
      <c r="E9" s="13">
        <v>4963541</v>
      </c>
      <c r="F9" s="13">
        <v>4478759</v>
      </c>
      <c r="G9" s="13">
        <v>2693060</v>
      </c>
      <c r="H9" s="13">
        <v>4000000</v>
      </c>
      <c r="I9" s="13">
        <v>4000000</v>
      </c>
      <c r="J9" s="13"/>
      <c r="K9" s="59"/>
      <c r="L9" s="13"/>
      <c r="M9" s="13"/>
      <c r="N9" s="13"/>
      <c r="O9" s="13"/>
      <c r="P9" s="13"/>
      <c r="Q9" s="13"/>
    </row>
    <row r="10" spans="1:17" s="10" customFormat="1" ht="51">
      <c r="A10" s="7">
        <v>2</v>
      </c>
      <c r="B10" s="8" t="s">
        <v>27</v>
      </c>
      <c r="C10" s="9">
        <f>104122000-1</f>
        <v>104121999</v>
      </c>
      <c r="D10" s="9">
        <f>115390087-1</f>
        <v>115390086</v>
      </c>
      <c r="E10" s="9">
        <v>126415257</v>
      </c>
      <c r="F10" s="9">
        <v>130489326</v>
      </c>
      <c r="G10" s="9">
        <f>128360923+30000+96504+1726+348294+2169</f>
        <v>128839616</v>
      </c>
      <c r="H10" s="9">
        <f>(G10-348294-2169)*1.025</f>
        <v>131701381.82499999</v>
      </c>
      <c r="I10" s="9">
        <f>H10*1.025</f>
        <v>134993916.370625</v>
      </c>
      <c r="J10" s="9">
        <f>I10*1.025</f>
        <v>138368764.2798906</v>
      </c>
      <c r="K10" s="58">
        <f>J10*1.025</f>
        <v>141827983.38688785</v>
      </c>
      <c r="L10" s="9">
        <f>K10*1.025</f>
        <v>145373682.97156003</v>
      </c>
      <c r="M10" s="9">
        <f>L10*1.024</f>
        <v>148862651.3628775</v>
      </c>
      <c r="N10" s="9">
        <f>M10*1.024</f>
        <v>152435354.99558654</v>
      </c>
      <c r="O10" s="9">
        <f>N10*1.024</f>
        <v>156093803.51548064</v>
      </c>
      <c r="P10" s="9">
        <f>O10*1.024</f>
        <v>159840054.79985216</v>
      </c>
      <c r="Q10" s="9">
        <f>P10*1.024</f>
        <v>163676216.11504862</v>
      </c>
    </row>
    <row r="11" spans="1:17" ht="25.5">
      <c r="A11" s="11" t="s">
        <v>28</v>
      </c>
      <c r="B11" s="12" t="s">
        <v>29</v>
      </c>
      <c r="C11" s="15">
        <v>56403262</v>
      </c>
      <c r="D11" s="15">
        <v>62155974</v>
      </c>
      <c r="E11" s="13">
        <v>66294489</v>
      </c>
      <c r="F11" s="13">
        <v>68462278</v>
      </c>
      <c r="G11" s="13">
        <f>70058763+93504+31397</f>
        <v>70183664</v>
      </c>
      <c r="H11" s="13">
        <f>(+G11-31397)*1.03</f>
        <v>72256835.01</v>
      </c>
      <c r="I11" s="13">
        <f aca="true" t="shared" si="1" ref="I11:Q11">+H11*1.03</f>
        <v>74424540.06030001</v>
      </c>
      <c r="J11" s="13">
        <f t="shared" si="1"/>
        <v>76657276.26210901</v>
      </c>
      <c r="K11" s="59">
        <f t="shared" si="1"/>
        <v>78956994.54997228</v>
      </c>
      <c r="L11" s="13">
        <f t="shared" si="1"/>
        <v>81325704.38647145</v>
      </c>
      <c r="M11" s="13">
        <f t="shared" si="1"/>
        <v>83765475.5180656</v>
      </c>
      <c r="N11" s="13">
        <f t="shared" si="1"/>
        <v>86278439.78360757</v>
      </c>
      <c r="O11" s="13">
        <f t="shared" si="1"/>
        <v>88866792.9771158</v>
      </c>
      <c r="P11" s="13">
        <f t="shared" si="1"/>
        <v>91532796.76642928</v>
      </c>
      <c r="Q11" s="13">
        <f t="shared" si="1"/>
        <v>94278780.66942215</v>
      </c>
    </row>
    <row r="12" spans="1:17" ht="12.75">
      <c r="A12" s="11" t="s">
        <v>30</v>
      </c>
      <c r="B12" s="12" t="s">
        <v>31</v>
      </c>
      <c r="C12" s="15">
        <v>8569307</v>
      </c>
      <c r="D12" s="15">
        <v>8593601</v>
      </c>
      <c r="E12" s="13">
        <v>9228070</v>
      </c>
      <c r="F12" s="13">
        <v>9523529</v>
      </c>
      <c r="G12" s="13">
        <v>9629449</v>
      </c>
      <c r="H12" s="13">
        <f aca="true" t="shared" si="2" ref="H12:M12">+G12*1.025</f>
        <v>9870185.225</v>
      </c>
      <c r="I12" s="13">
        <f t="shared" si="2"/>
        <v>10116939.855624998</v>
      </c>
      <c r="J12" s="13">
        <f t="shared" si="2"/>
        <v>10369863.352015622</v>
      </c>
      <c r="K12" s="59">
        <f t="shared" si="2"/>
        <v>10629109.935816012</v>
      </c>
      <c r="L12" s="13">
        <f t="shared" si="2"/>
        <v>10894837.684211412</v>
      </c>
      <c r="M12" s="13">
        <f t="shared" si="2"/>
        <v>11167208.626316696</v>
      </c>
      <c r="N12" s="13">
        <f>+M12*1.024</f>
        <v>11435221.633348297</v>
      </c>
      <c r="O12" s="13">
        <f>+N12*1.024</f>
        <v>11709666.952548657</v>
      </c>
      <c r="P12" s="13">
        <f>+O12*1.024</f>
        <v>11990698.959409826</v>
      </c>
      <c r="Q12" s="13">
        <f>+P12*1.024</f>
        <v>12278475.73443566</v>
      </c>
    </row>
    <row r="13" spans="1:17" ht="12.75">
      <c r="A13" s="11" t="s">
        <v>32</v>
      </c>
      <c r="B13" s="12" t="s">
        <v>33</v>
      </c>
      <c r="C13" s="13">
        <v>0</v>
      </c>
      <c r="D13" s="13">
        <v>0</v>
      </c>
      <c r="E13" s="13">
        <v>0</v>
      </c>
      <c r="F13" s="13">
        <v>417759</v>
      </c>
      <c r="G13" s="13">
        <v>666400</v>
      </c>
      <c r="H13" s="13">
        <v>658499</v>
      </c>
      <c r="I13" s="13">
        <v>650598</v>
      </c>
      <c r="J13" s="13">
        <v>541396</v>
      </c>
      <c r="K13" s="59">
        <v>636112</v>
      </c>
      <c r="L13" s="13">
        <v>628211</v>
      </c>
      <c r="M13" s="13">
        <v>620310</v>
      </c>
      <c r="N13" s="13">
        <v>358955</v>
      </c>
      <c r="O13" s="13">
        <v>0</v>
      </c>
      <c r="P13" s="13">
        <v>0</v>
      </c>
      <c r="Q13" s="13">
        <v>0</v>
      </c>
    </row>
    <row r="14" spans="1:17" ht="38.25">
      <c r="A14" s="11" t="s">
        <v>34</v>
      </c>
      <c r="B14" s="12" t="s">
        <v>35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59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/>
    </row>
    <row r="15" spans="1:17" ht="25.5">
      <c r="A15" s="11" t="s">
        <v>36</v>
      </c>
      <c r="B15" s="16" t="s">
        <v>37</v>
      </c>
      <c r="C15" s="13">
        <v>0</v>
      </c>
      <c r="D15" s="13">
        <v>0</v>
      </c>
      <c r="E15" s="13">
        <v>0</v>
      </c>
      <c r="F15" s="13">
        <v>3473329</v>
      </c>
      <c r="G15" s="15" t="e">
        <f>#REF!</f>
        <v>#REF!</v>
      </c>
      <c r="H15" s="15">
        <v>2934173</v>
      </c>
      <c r="I15" s="15">
        <v>1252563</v>
      </c>
      <c r="J15" s="15">
        <f>541396+42000</f>
        <v>583396</v>
      </c>
      <c r="K15" s="59">
        <v>636112</v>
      </c>
      <c r="L15" s="15">
        <v>628211</v>
      </c>
      <c r="M15" s="15">
        <v>620310</v>
      </c>
      <c r="N15" s="15">
        <v>358955</v>
      </c>
      <c r="O15" s="15">
        <v>0</v>
      </c>
      <c r="P15" s="15">
        <v>0</v>
      </c>
      <c r="Q15" s="15">
        <v>0</v>
      </c>
    </row>
    <row r="16" spans="1:17" ht="12.75">
      <c r="A16" s="11">
        <v>3</v>
      </c>
      <c r="B16" s="12" t="s">
        <v>38</v>
      </c>
      <c r="C16" s="13">
        <f aca="true" t="shared" si="3" ref="C16:Q16">C6-C10</f>
        <v>25805057</v>
      </c>
      <c r="D16" s="13">
        <f t="shared" si="3"/>
        <v>22688797</v>
      </c>
      <c r="E16" s="13">
        <f t="shared" si="3"/>
        <v>19821041</v>
      </c>
      <c r="F16" s="13">
        <f t="shared" si="3"/>
        <v>49006143</v>
      </c>
      <c r="G16" s="13">
        <f t="shared" si="3"/>
        <v>32512564</v>
      </c>
      <c r="H16" s="13">
        <f t="shared" si="3"/>
        <v>15260418.175000012</v>
      </c>
      <c r="I16" s="13">
        <f>I6-I10</f>
        <v>16079156.62937501</v>
      </c>
      <c r="J16" s="13">
        <f>J6-J10</f>
        <v>14587231.64010942</v>
      </c>
      <c r="K16" s="59">
        <f>K6-K10</f>
        <v>16787384.38215217</v>
      </c>
      <c r="L16" s="13">
        <f t="shared" si="3"/>
        <v>18793222.66939637</v>
      </c>
      <c r="M16" s="13">
        <f t="shared" si="3"/>
        <v>20885929.069871426</v>
      </c>
      <c r="N16" s="13">
        <f t="shared" si="3"/>
        <v>22914928.59144306</v>
      </c>
      <c r="O16" s="13">
        <f t="shared" si="3"/>
        <v>24867689.146333933</v>
      </c>
      <c r="P16" s="13">
        <f t="shared" si="3"/>
        <v>26731244.13447866</v>
      </c>
      <c r="Q16" s="13">
        <f t="shared" si="3"/>
        <v>28492221.78731212</v>
      </c>
    </row>
    <row r="17" spans="1:17" ht="38.25">
      <c r="A17" s="17">
        <v>4</v>
      </c>
      <c r="B17" s="12" t="s">
        <v>39</v>
      </c>
      <c r="C17" s="15">
        <v>0</v>
      </c>
      <c r="D17" s="15">
        <v>4152945</v>
      </c>
      <c r="E17" s="15">
        <v>1755236</v>
      </c>
      <c r="F17" s="15">
        <v>683857</v>
      </c>
      <c r="G17" s="15">
        <f>1413904+1726+212258</f>
        <v>1627888</v>
      </c>
      <c r="H17" s="15">
        <f aca="true" t="shared" si="4" ref="H17:O17">G29</f>
        <v>0</v>
      </c>
      <c r="I17" s="15">
        <f t="shared" si="4"/>
        <v>0.17500001192092896</v>
      </c>
      <c r="J17" s="15">
        <f t="shared" si="4"/>
        <v>-0.19562497735023499</v>
      </c>
      <c r="K17" s="59">
        <f>J29</f>
        <v>0.4444844424724579</v>
      </c>
      <c r="L17" s="15">
        <f t="shared" si="4"/>
        <v>-0.17336338758468628</v>
      </c>
      <c r="M17" s="15">
        <f t="shared" si="4"/>
        <v>0.4960329830646515</v>
      </c>
      <c r="N17" s="15">
        <f t="shared" si="4"/>
        <v>-0.4340955913066864</v>
      </c>
      <c r="O17" s="15">
        <f t="shared" si="4"/>
        <v>0.15734747052192688</v>
      </c>
      <c r="P17" s="15">
        <f>N29</f>
        <v>0.15734747052192688</v>
      </c>
      <c r="Q17" s="15">
        <f>O29</f>
        <v>0.3036814033985138</v>
      </c>
    </row>
    <row r="18" spans="1:17" ht="51">
      <c r="A18" s="17" t="s">
        <v>40</v>
      </c>
      <c r="B18" s="12" t="s">
        <v>41</v>
      </c>
      <c r="C18" s="15">
        <v>0</v>
      </c>
      <c r="D18" s="15">
        <v>4152945</v>
      </c>
      <c r="E18" s="15">
        <v>1755236</v>
      </c>
      <c r="F18" s="15">
        <v>683857</v>
      </c>
      <c r="G18" s="15">
        <f>1413904+1726+212258</f>
        <v>1627888</v>
      </c>
      <c r="H18" s="15"/>
      <c r="I18" s="15"/>
      <c r="J18" s="15"/>
      <c r="K18" s="59"/>
      <c r="L18" s="15"/>
      <c r="M18" s="15"/>
      <c r="N18" s="15"/>
      <c r="O18" s="15"/>
      <c r="P18" s="15"/>
      <c r="Q18" s="15"/>
    </row>
    <row r="19" spans="1:17" ht="25.5">
      <c r="A19" s="17">
        <v>5</v>
      </c>
      <c r="B19" s="12" t="s">
        <v>42</v>
      </c>
      <c r="C19" s="15">
        <v>0</v>
      </c>
      <c r="D19" s="15">
        <v>2100000</v>
      </c>
      <c r="E19" s="15">
        <v>2100000</v>
      </c>
      <c r="F19" s="15">
        <v>2000000</v>
      </c>
      <c r="G19" s="15">
        <v>2000000</v>
      </c>
      <c r="H19" s="15">
        <v>0</v>
      </c>
      <c r="I19" s="15">
        <v>0</v>
      </c>
      <c r="J19" s="15">
        <v>0</v>
      </c>
      <c r="K19" s="59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ht="12.75">
      <c r="A20" s="11">
        <v>6</v>
      </c>
      <c r="B20" s="12" t="s">
        <v>43</v>
      </c>
      <c r="C20" s="13">
        <f aca="true" t="shared" si="5" ref="C20:H20">C16+C17+C19</f>
        <v>25805057</v>
      </c>
      <c r="D20" s="13">
        <f t="shared" si="5"/>
        <v>28941742</v>
      </c>
      <c r="E20" s="13">
        <f t="shared" si="5"/>
        <v>23676277</v>
      </c>
      <c r="F20" s="13">
        <f t="shared" si="5"/>
        <v>51690000</v>
      </c>
      <c r="G20" s="13">
        <f t="shared" si="5"/>
        <v>36140452</v>
      </c>
      <c r="H20" s="13">
        <f t="shared" si="5"/>
        <v>15260418.175000012</v>
      </c>
      <c r="I20" s="13">
        <f>I16+I17+I19</f>
        <v>16079156.804375023</v>
      </c>
      <c r="J20" s="13">
        <f>J16+J17+J19+1</f>
        <v>14587232.444484442</v>
      </c>
      <c r="K20" s="59">
        <f>K16+K17+K19-1</f>
        <v>16787383.826636612</v>
      </c>
      <c r="L20" s="13">
        <f>L16+L17+L19+1</f>
        <v>18793223.496032983</v>
      </c>
      <c r="M20" s="13">
        <f>M16+M17+M19-1</f>
        <v>20885928.56590441</v>
      </c>
      <c r="N20" s="13">
        <f>N16+N17+N19+1</f>
        <v>22914929.15734747</v>
      </c>
      <c r="O20" s="13">
        <f>O16+O17+O19</f>
        <v>24867689.303681403</v>
      </c>
      <c r="P20" s="13">
        <f>P16+P17+P19</f>
        <v>26731244.29182613</v>
      </c>
      <c r="Q20" s="13">
        <f>Q16+Q17+Q19</f>
        <v>28492222.090993524</v>
      </c>
    </row>
    <row r="21" spans="1:17" s="10" customFormat="1" ht="12.75">
      <c r="A21" s="18">
        <v>7</v>
      </c>
      <c r="B21" s="8" t="s">
        <v>44</v>
      </c>
      <c r="C21" s="9">
        <f aca="true" t="shared" si="6" ref="C21:Q21">SUM(C22:C23)</f>
        <v>4175906</v>
      </c>
      <c r="D21" s="9">
        <f t="shared" si="6"/>
        <v>3855630</v>
      </c>
      <c r="E21" s="9">
        <f t="shared" si="6"/>
        <v>5072953</v>
      </c>
      <c r="F21" s="9">
        <f t="shared" si="6"/>
        <v>25254732</v>
      </c>
      <c r="G21" s="9">
        <f t="shared" si="6"/>
        <v>15795799</v>
      </c>
      <c r="H21" s="9">
        <f t="shared" si="6"/>
        <v>7771808</v>
      </c>
      <c r="I21" s="9">
        <f t="shared" si="6"/>
        <v>4958139</v>
      </c>
      <c r="J21" s="9">
        <f t="shared" si="6"/>
        <v>5757658</v>
      </c>
      <c r="K21" s="58">
        <f t="shared" si="6"/>
        <v>5516012</v>
      </c>
      <c r="L21" s="9">
        <f t="shared" si="6"/>
        <v>5295456</v>
      </c>
      <c r="M21" s="9">
        <f t="shared" si="6"/>
        <v>4786953</v>
      </c>
      <c r="N21" s="9">
        <f t="shared" si="6"/>
        <v>4475666</v>
      </c>
      <c r="O21" s="9">
        <f t="shared" si="6"/>
        <v>3496749</v>
      </c>
      <c r="P21" s="9">
        <f t="shared" si="6"/>
        <v>3340492</v>
      </c>
      <c r="Q21" s="9">
        <f t="shared" si="6"/>
        <v>2905945</v>
      </c>
    </row>
    <row r="22" spans="1:20" s="22" customFormat="1" ht="38.25">
      <c r="A22" s="19" t="s">
        <v>45</v>
      </c>
      <c r="B22" s="20" t="s">
        <v>46</v>
      </c>
      <c r="C22" s="21">
        <v>3256004</v>
      </c>
      <c r="D22" s="21">
        <v>3238649</v>
      </c>
      <c r="E22" s="21">
        <v>3880159</v>
      </c>
      <c r="F22" s="21">
        <v>23326218</v>
      </c>
      <c r="G22" s="21">
        <v>13710515</v>
      </c>
      <c r="H22" s="21">
        <f>4335849+1409275</f>
        <v>5745124</v>
      </c>
      <c r="I22" s="21">
        <v>3315879</v>
      </c>
      <c r="J22" s="21">
        <v>4280646</v>
      </c>
      <c r="K22" s="66">
        <f>4260358</f>
        <v>4260358</v>
      </c>
      <c r="L22" s="21">
        <v>4260356</v>
      </c>
      <c r="M22" s="21">
        <v>3966249</v>
      </c>
      <c r="N22" s="21">
        <v>3869173</v>
      </c>
      <c r="O22" s="21">
        <v>3063664</v>
      </c>
      <c r="P22" s="21">
        <v>3044378</v>
      </c>
      <c r="Q22" s="21">
        <f>2771315+1</f>
        <v>2771316</v>
      </c>
      <c r="T22" s="23">
        <f>SUM(G22:Q22)</f>
        <v>52287658</v>
      </c>
    </row>
    <row r="23" spans="1:17" s="22" customFormat="1" ht="12.75">
      <c r="A23" s="19" t="s">
        <v>47</v>
      </c>
      <c r="B23" s="20" t="s">
        <v>48</v>
      </c>
      <c r="C23" s="21">
        <v>919902</v>
      </c>
      <c r="D23" s="21">
        <v>616981</v>
      </c>
      <c r="E23" s="21">
        <v>1192794</v>
      </c>
      <c r="F23" s="21">
        <v>1928514</v>
      </c>
      <c r="G23" s="21">
        <v>2085284</v>
      </c>
      <c r="H23" s="21">
        <v>2026684</v>
      </c>
      <c r="I23" s="21">
        <f>1642260</f>
        <v>1642260</v>
      </c>
      <c r="J23" s="21">
        <v>1477012</v>
      </c>
      <c r="K23" s="66">
        <v>1255654</v>
      </c>
      <c r="L23" s="21">
        <v>1035100</v>
      </c>
      <c r="M23" s="21">
        <v>820704</v>
      </c>
      <c r="N23" s="21">
        <v>606493</v>
      </c>
      <c r="O23" s="21">
        <v>433085</v>
      </c>
      <c r="P23" s="21">
        <v>296114</v>
      </c>
      <c r="Q23" s="21">
        <v>134629</v>
      </c>
    </row>
    <row r="24" spans="1:17" ht="25.5">
      <c r="A24" s="11">
        <v>8</v>
      </c>
      <c r="B24" s="12" t="s">
        <v>49</v>
      </c>
      <c r="C24" s="13">
        <v>634705</v>
      </c>
      <c r="D24" s="13">
        <v>2100000</v>
      </c>
      <c r="E24" s="13">
        <v>3900000</v>
      </c>
      <c r="F24" s="13">
        <v>200000</v>
      </c>
      <c r="G24" s="13">
        <v>0</v>
      </c>
      <c r="H24" s="13">
        <v>0</v>
      </c>
      <c r="I24" s="13">
        <v>0</v>
      </c>
      <c r="J24" s="13">
        <v>0</v>
      </c>
      <c r="K24" s="59">
        <v>0</v>
      </c>
      <c r="L24" s="13">
        <v>0</v>
      </c>
      <c r="M24" s="13">
        <v>0</v>
      </c>
      <c r="N24" s="13">
        <v>0</v>
      </c>
      <c r="O24" s="13">
        <v>0</v>
      </c>
      <c r="P24" s="13"/>
      <c r="Q24" s="13"/>
    </row>
    <row r="25" spans="1:17" ht="12.75">
      <c r="A25" s="11">
        <v>9</v>
      </c>
      <c r="B25" s="12" t="s">
        <v>50</v>
      </c>
      <c r="C25" s="13">
        <f aca="true" t="shared" si="7" ref="C25:Q25">C20-C21-C24</f>
        <v>20994446</v>
      </c>
      <c r="D25" s="13">
        <f t="shared" si="7"/>
        <v>22986112</v>
      </c>
      <c r="E25" s="13">
        <f t="shared" si="7"/>
        <v>14703324</v>
      </c>
      <c r="F25" s="13">
        <f t="shared" si="7"/>
        <v>26235268</v>
      </c>
      <c r="G25" s="13">
        <f t="shared" si="7"/>
        <v>20344653</v>
      </c>
      <c r="H25" s="13">
        <f t="shared" si="7"/>
        <v>7488610.175000012</v>
      </c>
      <c r="I25" s="13">
        <f t="shared" si="7"/>
        <v>11121017.804375023</v>
      </c>
      <c r="J25" s="13">
        <f t="shared" si="7"/>
        <v>8829574.444484442</v>
      </c>
      <c r="K25" s="59">
        <f t="shared" si="7"/>
        <v>11271371.826636612</v>
      </c>
      <c r="L25" s="13">
        <f t="shared" si="7"/>
        <v>13497767.496032983</v>
      </c>
      <c r="M25" s="13">
        <f t="shared" si="7"/>
        <v>16098975.565904409</v>
      </c>
      <c r="N25" s="13">
        <f t="shared" si="7"/>
        <v>18439263.15734747</v>
      </c>
      <c r="O25" s="13">
        <f t="shared" si="7"/>
        <v>21370940.303681403</v>
      </c>
      <c r="P25" s="13">
        <f t="shared" si="7"/>
        <v>23390752.29182613</v>
      </c>
      <c r="Q25" s="13">
        <f t="shared" si="7"/>
        <v>25586277.090993524</v>
      </c>
    </row>
    <row r="26" spans="1:20" s="10" customFormat="1" ht="12.75">
      <c r="A26" s="7">
        <v>10</v>
      </c>
      <c r="B26" s="8" t="s">
        <v>51</v>
      </c>
      <c r="C26" s="9">
        <f>C27</f>
        <v>16841501</v>
      </c>
      <c r="D26" s="9">
        <f>D27</f>
        <v>28295151</v>
      </c>
      <c r="E26" s="9">
        <v>45079467</v>
      </c>
      <c r="F26" s="9">
        <v>42333191</v>
      </c>
      <c r="G26" s="24">
        <v>36467213</v>
      </c>
      <c r="H26" s="24">
        <v>7488610</v>
      </c>
      <c r="I26" s="9">
        <v>11121018</v>
      </c>
      <c r="J26" s="9">
        <v>8829574</v>
      </c>
      <c r="K26" s="58">
        <v>11271372</v>
      </c>
      <c r="L26" s="9">
        <v>13497767</v>
      </c>
      <c r="M26" s="9">
        <v>16098976</v>
      </c>
      <c r="N26" s="9">
        <v>18439263</v>
      </c>
      <c r="O26" s="9">
        <v>21370940</v>
      </c>
      <c r="P26" s="9">
        <v>23390752</v>
      </c>
      <c r="Q26" s="9">
        <f>25586278-1</f>
        <v>25586277</v>
      </c>
      <c r="T26" s="25">
        <f>G28</f>
        <v>16122560</v>
      </c>
    </row>
    <row r="27" spans="1:17" ht="38.25">
      <c r="A27" s="11" t="s">
        <v>52</v>
      </c>
      <c r="B27" s="16" t="s">
        <v>53</v>
      </c>
      <c r="C27" s="13">
        <v>16841501</v>
      </c>
      <c r="D27" s="13">
        <v>28295151</v>
      </c>
      <c r="E27" s="13">
        <v>45079467</v>
      </c>
      <c r="F27" s="13">
        <v>9896440</v>
      </c>
      <c r="G27" s="15">
        <v>3972701</v>
      </c>
      <c r="H27" s="15">
        <v>4212701</v>
      </c>
      <c r="I27" s="15"/>
      <c r="J27" s="15"/>
      <c r="K27" s="59"/>
      <c r="L27" s="15"/>
      <c r="M27" s="15"/>
      <c r="N27" s="15"/>
      <c r="O27" s="15"/>
      <c r="P27" s="15"/>
      <c r="Q27" s="15"/>
    </row>
    <row r="28" spans="1:17" s="10" customFormat="1" ht="25.5">
      <c r="A28" s="18">
        <v>11</v>
      </c>
      <c r="B28" s="8" t="s">
        <v>54</v>
      </c>
      <c r="C28" s="9">
        <v>0</v>
      </c>
      <c r="D28" s="9">
        <v>7064275</v>
      </c>
      <c r="E28" s="9">
        <v>31060000</v>
      </c>
      <c r="F28" s="9">
        <v>16097923</v>
      </c>
      <c r="G28" s="9">
        <f>14713285+1409275</f>
        <v>16122560</v>
      </c>
      <c r="H28" s="9"/>
      <c r="I28" s="9"/>
      <c r="J28" s="9"/>
      <c r="K28" s="58"/>
      <c r="L28" s="9"/>
      <c r="M28" s="9"/>
      <c r="N28" s="9"/>
      <c r="O28" s="9"/>
      <c r="P28" s="9"/>
      <c r="Q28" s="9"/>
    </row>
    <row r="29" spans="1:17" ht="12.75">
      <c r="A29" s="11">
        <v>12</v>
      </c>
      <c r="B29" s="12" t="s">
        <v>55</v>
      </c>
      <c r="C29" s="13">
        <f aca="true" t="shared" si="8" ref="C29:Q29">C25-C26+C28</f>
        <v>4152945</v>
      </c>
      <c r="D29" s="13">
        <f t="shared" si="8"/>
        <v>1755236</v>
      </c>
      <c r="E29" s="13">
        <f t="shared" si="8"/>
        <v>683857</v>
      </c>
      <c r="F29" s="13">
        <f t="shared" si="8"/>
        <v>0</v>
      </c>
      <c r="G29" s="13">
        <f t="shared" si="8"/>
        <v>0</v>
      </c>
      <c r="H29" s="15">
        <f>H25-H26+H28</f>
        <v>0.17500001192092896</v>
      </c>
      <c r="I29" s="15">
        <f>I25-I26+I28</f>
        <v>-0.19562497735023499</v>
      </c>
      <c r="J29" s="13">
        <f t="shared" si="8"/>
        <v>0.4444844424724579</v>
      </c>
      <c r="K29" s="59">
        <f t="shared" si="8"/>
        <v>-0.17336338758468628</v>
      </c>
      <c r="L29" s="13">
        <f t="shared" si="8"/>
        <v>0.4960329830646515</v>
      </c>
      <c r="M29" s="13">
        <f t="shared" si="8"/>
        <v>-0.4340955913066864</v>
      </c>
      <c r="N29" s="13">
        <f t="shared" si="8"/>
        <v>0.15734747052192688</v>
      </c>
      <c r="O29" s="13">
        <f t="shared" si="8"/>
        <v>0.3036814033985138</v>
      </c>
      <c r="P29" s="13">
        <f t="shared" si="8"/>
        <v>0.29182612895965576</v>
      </c>
      <c r="Q29" s="13">
        <f t="shared" si="8"/>
        <v>0.09099352359771729</v>
      </c>
    </row>
    <row r="30" spans="1:17" ht="23.25" customHeight="1">
      <c r="A30" s="26"/>
      <c r="B30" s="27"/>
      <c r="C30" s="28"/>
      <c r="D30" s="28"/>
      <c r="E30" s="28"/>
      <c r="F30" s="28"/>
      <c r="G30" s="29"/>
      <c r="H30" s="29"/>
      <c r="I30" s="29"/>
      <c r="J30" s="28"/>
      <c r="K30" s="60"/>
      <c r="L30" s="28"/>
      <c r="M30" s="28"/>
      <c r="N30" s="28"/>
      <c r="O30" s="28"/>
      <c r="P30" s="30"/>
      <c r="Q30" s="30"/>
    </row>
    <row r="31" spans="1:17" ht="23.25" customHeight="1">
      <c r="A31" s="71" t="s">
        <v>56</v>
      </c>
      <c r="B31" s="72"/>
      <c r="C31" s="13"/>
      <c r="D31" s="13"/>
      <c r="E31" s="13"/>
      <c r="F31" s="13"/>
      <c r="G31" s="15"/>
      <c r="H31" s="15"/>
      <c r="I31" s="15"/>
      <c r="J31" s="13"/>
      <c r="K31" s="59"/>
      <c r="L31" s="13"/>
      <c r="M31" s="13"/>
      <c r="N31" s="13"/>
      <c r="O31" s="13"/>
      <c r="P31" s="13"/>
      <c r="Q31" s="13"/>
    </row>
    <row r="32" spans="1:17" s="22" customFormat="1" ht="12.75">
      <c r="A32" s="19">
        <v>13</v>
      </c>
      <c r="B32" s="20" t="s">
        <v>57</v>
      </c>
      <c r="C32" s="21">
        <v>13522494</v>
      </c>
      <c r="D32" s="21">
        <f>+C32+D28-D22</f>
        <v>17348120</v>
      </c>
      <c r="E32" s="21">
        <v>44420097</v>
      </c>
      <c r="F32" s="31">
        <v>36165098</v>
      </c>
      <c r="G32" s="31">
        <f aca="true" t="shared" si="9" ref="G32:P32">F32+G28-G22</f>
        <v>38577143</v>
      </c>
      <c r="H32" s="31">
        <f t="shared" si="9"/>
        <v>32832019</v>
      </c>
      <c r="I32" s="31">
        <f t="shared" si="9"/>
        <v>29516140</v>
      </c>
      <c r="J32" s="31">
        <f t="shared" si="9"/>
        <v>25235494</v>
      </c>
      <c r="K32" s="66">
        <f t="shared" si="9"/>
        <v>20975136</v>
      </c>
      <c r="L32" s="31">
        <f t="shared" si="9"/>
        <v>16714780</v>
      </c>
      <c r="M32" s="31">
        <f t="shared" si="9"/>
        <v>12748531</v>
      </c>
      <c r="N32" s="31">
        <f t="shared" si="9"/>
        <v>8879358</v>
      </c>
      <c r="O32" s="31">
        <f t="shared" si="9"/>
        <v>5815694</v>
      </c>
      <c r="P32" s="31">
        <f t="shared" si="9"/>
        <v>2771316</v>
      </c>
      <c r="Q32" s="31">
        <f>P32+Q28-Q22</f>
        <v>0</v>
      </c>
    </row>
    <row r="33" spans="1:17" ht="27" customHeight="1">
      <c r="A33" s="11" t="s">
        <v>58</v>
      </c>
      <c r="B33" s="12" t="s">
        <v>59</v>
      </c>
      <c r="C33" s="13"/>
      <c r="D33" s="13"/>
      <c r="E33" s="13"/>
      <c r="F33" s="13"/>
      <c r="G33" s="13"/>
      <c r="H33" s="13"/>
      <c r="I33" s="13"/>
      <c r="J33" s="13"/>
      <c r="K33" s="59"/>
      <c r="L33" s="13"/>
      <c r="M33" s="13"/>
      <c r="N33" s="13"/>
      <c r="O33" s="13"/>
      <c r="P33" s="13"/>
      <c r="Q33" s="13"/>
    </row>
    <row r="34" spans="1:17" ht="38.25">
      <c r="A34" s="11" t="s">
        <v>60</v>
      </c>
      <c r="B34" s="12" t="s">
        <v>61</v>
      </c>
      <c r="C34" s="13"/>
      <c r="D34" s="13"/>
      <c r="E34" s="13"/>
      <c r="F34" s="13"/>
      <c r="G34" s="13"/>
      <c r="H34" s="13"/>
      <c r="I34" s="13"/>
      <c r="J34" s="13"/>
      <c r="K34" s="59"/>
      <c r="L34" s="13"/>
      <c r="M34" s="13"/>
      <c r="N34" s="13"/>
      <c r="O34" s="13"/>
      <c r="P34" s="13"/>
      <c r="Q34" s="13"/>
    </row>
    <row r="35" spans="1:17" ht="24.75" customHeight="1">
      <c r="A35" s="11">
        <v>14</v>
      </c>
      <c r="B35" s="12" t="s">
        <v>62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61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</row>
    <row r="36" spans="1:17" ht="25.5">
      <c r="A36" s="11">
        <v>15</v>
      </c>
      <c r="B36" s="12" t="s">
        <v>63</v>
      </c>
      <c r="C36" s="33">
        <f aca="true" t="shared" si="10" ref="C36:Q36">(C22+C23+C13-C33)/C6</f>
        <v>0.03214038806513095</v>
      </c>
      <c r="D36" s="33">
        <f t="shared" si="10"/>
        <v>0.027923386373280554</v>
      </c>
      <c r="E36" s="33">
        <f t="shared" si="10"/>
        <v>0.034690108197350564</v>
      </c>
      <c r="F36" s="33">
        <f t="shared" si="10"/>
        <v>0.14302584429025336</v>
      </c>
      <c r="G36" s="33">
        <f t="shared" si="10"/>
        <v>0.1020265050029073</v>
      </c>
      <c r="H36" s="33">
        <f t="shared" si="10"/>
        <v>0.05736393402911505</v>
      </c>
      <c r="I36" s="33">
        <f t="shared" si="10"/>
        <v>0.03712598736903962</v>
      </c>
      <c r="J36" s="33">
        <f t="shared" si="10"/>
        <v>0.04118213190736615</v>
      </c>
      <c r="K36" s="62">
        <f t="shared" si="10"/>
        <v>0.03878643088958513</v>
      </c>
      <c r="L36" s="33">
        <f t="shared" si="10"/>
        <v>0.036083198235796934</v>
      </c>
      <c r="M36" s="33">
        <f t="shared" si="10"/>
        <v>0.03185454032201614</v>
      </c>
      <c r="N36" s="33">
        <f t="shared" si="10"/>
        <v>0.02757121859800408</v>
      </c>
      <c r="O36" s="33">
        <f t="shared" si="10"/>
        <v>0.019323166208265165</v>
      </c>
      <c r="P36" s="33">
        <f t="shared" si="10"/>
        <v>0.01790464031220463</v>
      </c>
      <c r="Q36" s="33">
        <f t="shared" si="10"/>
        <v>0.015121864088193753</v>
      </c>
    </row>
    <row r="37" spans="1:17" s="37" customFormat="1" ht="38.25" hidden="1">
      <c r="A37" s="34"/>
      <c r="B37" s="35" t="s">
        <v>64</v>
      </c>
      <c r="C37" s="36">
        <f>+(C22+C23-C33+C13)/C6</f>
        <v>0.03214038806513095</v>
      </c>
      <c r="D37" s="36">
        <f>+(D22+D23-D33+D13)/D6</f>
        <v>0.027923386373280554</v>
      </c>
      <c r="E37" s="36">
        <f>+(E22+E23-E33+E13)/E6</f>
        <v>0.034690108197350564</v>
      </c>
      <c r="F37" s="36">
        <f>+(F22+F23-F33+F13)/F6</f>
        <v>0.14302584429025336</v>
      </c>
      <c r="G37" s="36">
        <f aca="true" t="shared" si="11" ref="G37:Q37">+(G22+G23-G34)/G6</f>
        <v>0.09789640896082098</v>
      </c>
      <c r="H37" s="36">
        <f t="shared" si="11"/>
        <v>0.05288318460987821</v>
      </c>
      <c r="I37" s="36">
        <f t="shared" si="11"/>
        <v>0.032819475380632526</v>
      </c>
      <c r="J37" s="36">
        <f t="shared" si="11"/>
        <v>0.037642577954324886</v>
      </c>
      <c r="K37" s="63">
        <f t="shared" si="11"/>
        <v>0.03477602503202508</v>
      </c>
      <c r="L37" s="36">
        <f t="shared" si="11"/>
        <v>0.0322565378163459</v>
      </c>
      <c r="M37" s="36">
        <f t="shared" si="11"/>
        <v>0.028200253503130164</v>
      </c>
      <c r="N37" s="36">
        <f t="shared" si="11"/>
        <v>0.025524144634637237</v>
      </c>
      <c r="O37" s="36">
        <f t="shared" si="11"/>
        <v>0.019323166208265165</v>
      </c>
      <c r="P37" s="36">
        <f t="shared" si="11"/>
        <v>0.01790464031220463</v>
      </c>
      <c r="Q37" s="36">
        <f t="shared" si="11"/>
        <v>0.015121864088193753</v>
      </c>
    </row>
    <row r="38" spans="1:17" s="37" customFormat="1" ht="38.25" hidden="1">
      <c r="A38" s="34"/>
      <c r="B38" s="35" t="s">
        <v>65</v>
      </c>
      <c r="C38" s="36">
        <f aca="true" t="shared" si="12" ref="C38:Q38">+(C7+C9-C46)/C6</f>
        <v>0.15244042780435202</v>
      </c>
      <c r="D38" s="36">
        <f t="shared" si="12"/>
        <v>0.058107581881293176</v>
      </c>
      <c r="E38" s="36">
        <f t="shared" si="12"/>
        <v>0.029059385789429654</v>
      </c>
      <c r="F38" s="36">
        <f t="shared" si="12"/>
        <v>0.020763387626235846</v>
      </c>
      <c r="G38" s="36">
        <f t="shared" si="12"/>
        <v>0.03303368445347314</v>
      </c>
      <c r="H38" s="36">
        <f t="shared" si="12"/>
        <v>0.08045940628789258</v>
      </c>
      <c r="I38" s="36">
        <f t="shared" si="12"/>
        <v>0.09556234173759748</v>
      </c>
      <c r="J38" s="36">
        <f t="shared" si="12"/>
        <v>0.08571236165835831</v>
      </c>
      <c r="K38" s="63">
        <f t="shared" si="12"/>
        <v>0.09792071601011534</v>
      </c>
      <c r="L38" s="36">
        <f t="shared" si="12"/>
        <v>0.10817114813770401</v>
      </c>
      <c r="M38" s="36">
        <f t="shared" si="12"/>
        <v>0.11820555446601144</v>
      </c>
      <c r="N38" s="36">
        <f t="shared" si="12"/>
        <v>0.12722212439634276</v>
      </c>
      <c r="O38" s="36">
        <f t="shared" si="12"/>
        <v>0.13502653955224575</v>
      </c>
      <c r="P38" s="36">
        <f t="shared" si="12"/>
        <v>0.14168915736489174</v>
      </c>
      <c r="Q38" s="36">
        <f t="shared" si="12"/>
        <v>0.1475663386602559</v>
      </c>
    </row>
    <row r="39" spans="1:17" ht="38.25">
      <c r="A39" s="11" t="s">
        <v>66</v>
      </c>
      <c r="B39" s="12" t="s">
        <v>67</v>
      </c>
      <c r="C39" s="38"/>
      <c r="D39" s="38"/>
      <c r="E39" s="38"/>
      <c r="F39" s="38">
        <f>+AVERAGE(C38:E38)</f>
        <v>0.07986913182502495</v>
      </c>
      <c r="G39" s="38">
        <f>+AVERAGE(D38,E38,F38)</f>
        <v>0.035976785098986226</v>
      </c>
      <c r="H39" s="38">
        <f>+AVERAGE(E38,F38,G38)</f>
        <v>0.02761881928971288</v>
      </c>
      <c r="I39" s="38">
        <f>+AVERAGE(F38,G38,H38)</f>
        <v>0.04475215945586719</v>
      </c>
      <c r="J39" s="38">
        <f aca="true" t="shared" si="13" ref="J39:O39">+AVERAGE(G38:I38)</f>
        <v>0.06968514415965439</v>
      </c>
      <c r="K39" s="67">
        <f t="shared" si="13"/>
        <v>0.08724470322794946</v>
      </c>
      <c r="L39" s="38">
        <f t="shared" si="13"/>
        <v>0.09306513980202373</v>
      </c>
      <c r="M39" s="38">
        <f t="shared" si="13"/>
        <v>0.09726807526872588</v>
      </c>
      <c r="N39" s="38">
        <f t="shared" si="13"/>
        <v>0.10809913953794359</v>
      </c>
      <c r="O39" s="38">
        <f t="shared" si="13"/>
        <v>0.11786627566668606</v>
      </c>
      <c r="P39" s="38">
        <f>+AVERAGE(L38:N38)</f>
        <v>0.11786627566668606</v>
      </c>
      <c r="Q39" s="38">
        <f>+AVERAGE(M38:O38)</f>
        <v>0.12681807280486665</v>
      </c>
    </row>
    <row r="40" spans="1:17" s="37" customFormat="1" ht="25.5" hidden="1">
      <c r="A40" s="34"/>
      <c r="B40" s="35" t="s">
        <v>68</v>
      </c>
      <c r="C40" s="36"/>
      <c r="D40" s="36"/>
      <c r="E40" s="36"/>
      <c r="F40" s="36"/>
      <c r="G40" s="36" t="e">
        <f>+AVERAGE(D38,F38,#REF!)</f>
        <v>#REF!</v>
      </c>
      <c r="H40" s="36" t="e">
        <f>+AVERAGE(F38,#REF!,G38)</f>
        <v>#REF!</v>
      </c>
      <c r="I40" s="36">
        <f>+AVERAGE(G38:H38)</f>
        <v>0.05674654537068286</v>
      </c>
      <c r="J40" s="36">
        <f aca="true" t="shared" si="14" ref="J40:O40">+AVERAGE(G38:I38)</f>
        <v>0.06968514415965439</v>
      </c>
      <c r="K40" s="68">
        <f t="shared" si="14"/>
        <v>0.08724470322794946</v>
      </c>
      <c r="L40" s="36">
        <f t="shared" si="14"/>
        <v>0.09306513980202373</v>
      </c>
      <c r="M40" s="36">
        <f t="shared" si="14"/>
        <v>0.09726807526872588</v>
      </c>
      <c r="N40" s="36">
        <f t="shared" si="14"/>
        <v>0.10809913953794359</v>
      </c>
      <c r="O40" s="36">
        <f t="shared" si="14"/>
        <v>0.11786627566668606</v>
      </c>
      <c r="P40" s="36">
        <f>+AVERAGE(L38:N38)</f>
        <v>0.11786627566668606</v>
      </c>
      <c r="Q40" s="36">
        <f>+AVERAGE(M38:O38)</f>
        <v>0.12681807280486665</v>
      </c>
    </row>
    <row r="41" spans="1:17" ht="25.5">
      <c r="A41" s="11">
        <v>16</v>
      </c>
      <c r="B41" s="12" t="s">
        <v>69</v>
      </c>
      <c r="C41" s="39" t="str">
        <f aca="true" t="shared" si="15" ref="C41:Q41">IF(C36&lt;C39,"TAK","NIE")</f>
        <v>NIE</v>
      </c>
      <c r="D41" s="39" t="str">
        <f t="shared" si="15"/>
        <v>NIE</v>
      </c>
      <c r="E41" s="39" t="str">
        <f t="shared" si="15"/>
        <v>NIE</v>
      </c>
      <c r="F41" s="39" t="str">
        <f t="shared" si="15"/>
        <v>NIE</v>
      </c>
      <c r="G41" s="39" t="str">
        <f t="shared" si="15"/>
        <v>NIE</v>
      </c>
      <c r="H41" s="39" t="str">
        <f t="shared" si="15"/>
        <v>NIE</v>
      </c>
      <c r="I41" s="39" t="str">
        <f t="shared" si="15"/>
        <v>TAK</v>
      </c>
      <c r="J41" s="39" t="str">
        <f t="shared" si="15"/>
        <v>TAK</v>
      </c>
      <c r="K41" s="68" t="str">
        <f t="shared" si="15"/>
        <v>TAK</v>
      </c>
      <c r="L41" s="39" t="str">
        <f t="shared" si="15"/>
        <v>TAK</v>
      </c>
      <c r="M41" s="39" t="str">
        <f t="shared" si="15"/>
        <v>TAK</v>
      </c>
      <c r="N41" s="39" t="str">
        <f t="shared" si="15"/>
        <v>TAK</v>
      </c>
      <c r="O41" s="39" t="str">
        <f t="shared" si="15"/>
        <v>TAK</v>
      </c>
      <c r="P41" s="39" t="str">
        <f t="shared" si="15"/>
        <v>TAK</v>
      </c>
      <c r="Q41" s="39" t="str">
        <f t="shared" si="15"/>
        <v>TAK</v>
      </c>
    </row>
    <row r="42" spans="1:17" ht="31.5" customHeight="1">
      <c r="A42" s="40">
        <v>17</v>
      </c>
      <c r="B42" s="41" t="s">
        <v>70</v>
      </c>
      <c r="C42" s="39"/>
      <c r="D42" s="39"/>
      <c r="E42" s="39"/>
      <c r="F42" s="39">
        <v>9770000</v>
      </c>
      <c r="G42" s="42">
        <v>8400000</v>
      </c>
      <c r="H42" s="42"/>
      <c r="I42" s="42"/>
      <c r="J42" s="42"/>
      <c r="K42" s="63"/>
      <c r="L42" s="42"/>
      <c r="M42" s="42"/>
      <c r="N42" s="42"/>
      <c r="O42" s="42"/>
      <c r="P42" s="42"/>
      <c r="Q42" s="42"/>
    </row>
    <row r="43" spans="1:17" ht="38.25">
      <c r="A43" s="11">
        <v>18</v>
      </c>
      <c r="B43" s="12" t="s">
        <v>71</v>
      </c>
      <c r="C43" s="43">
        <f>+C21/C6</f>
        <v>0.03214038806513095</v>
      </c>
      <c r="D43" s="43">
        <f>+D21/D6</f>
        <v>0.027923386373280554</v>
      </c>
      <c r="E43" s="43">
        <f>+E21/E6</f>
        <v>0.034690108197350564</v>
      </c>
      <c r="F43" s="43">
        <f>+F21/F6</f>
        <v>0.14069843735164145</v>
      </c>
      <c r="G43" s="43">
        <f aca="true" t="shared" si="16" ref="G43:Q43">+(G21+G13-G33)/G6</f>
        <v>0.1020265050029073</v>
      </c>
      <c r="H43" s="43">
        <f t="shared" si="16"/>
        <v>0.05736393402911505</v>
      </c>
      <c r="I43" s="43">
        <f t="shared" si="16"/>
        <v>0.03712598736903962</v>
      </c>
      <c r="J43" s="43">
        <f t="shared" si="16"/>
        <v>0.04118213190736615</v>
      </c>
      <c r="K43" s="64">
        <f t="shared" si="16"/>
        <v>0.03878643088958513</v>
      </c>
      <c r="L43" s="43">
        <f t="shared" si="16"/>
        <v>0.036083198235796934</v>
      </c>
      <c r="M43" s="43">
        <f t="shared" si="16"/>
        <v>0.03185454032201614</v>
      </c>
      <c r="N43" s="43">
        <f t="shared" si="16"/>
        <v>0.02757121859800408</v>
      </c>
      <c r="O43" s="43">
        <f t="shared" si="16"/>
        <v>0.019323166208265165</v>
      </c>
      <c r="P43" s="43">
        <f t="shared" si="16"/>
        <v>0.01790464031220463</v>
      </c>
      <c r="Q43" s="43">
        <f t="shared" si="16"/>
        <v>0.015121864088193753</v>
      </c>
    </row>
    <row r="44" spans="1:17" ht="25.5" hidden="1">
      <c r="A44" s="11"/>
      <c r="B44" s="12" t="s">
        <v>72</v>
      </c>
      <c r="C44" s="44" t="str">
        <f aca="true" t="shared" si="17" ref="C44:Q44">IF(C36&lt;15%,"TAK","NIE")</f>
        <v>TAK</v>
      </c>
      <c r="D44" s="44" t="str">
        <f t="shared" si="17"/>
        <v>TAK</v>
      </c>
      <c r="E44" s="44" t="str">
        <f t="shared" si="17"/>
        <v>TAK</v>
      </c>
      <c r="F44" s="44" t="str">
        <f t="shared" si="17"/>
        <v>TAK</v>
      </c>
      <c r="G44" s="44" t="str">
        <f t="shared" si="17"/>
        <v>TAK</v>
      </c>
      <c r="H44" s="44" t="str">
        <f t="shared" si="17"/>
        <v>TAK</v>
      </c>
      <c r="I44" s="44" t="str">
        <f t="shared" si="17"/>
        <v>TAK</v>
      </c>
      <c r="J44" s="44" t="str">
        <f t="shared" si="17"/>
        <v>TAK</v>
      </c>
      <c r="K44" s="63" t="str">
        <f t="shared" si="17"/>
        <v>TAK</v>
      </c>
      <c r="L44" s="44" t="str">
        <f t="shared" si="17"/>
        <v>TAK</v>
      </c>
      <c r="M44" s="44" t="str">
        <f t="shared" si="17"/>
        <v>TAK</v>
      </c>
      <c r="N44" s="44" t="str">
        <f t="shared" si="17"/>
        <v>TAK</v>
      </c>
      <c r="O44" s="44" t="str">
        <f t="shared" si="17"/>
        <v>TAK</v>
      </c>
      <c r="P44" s="44" t="str">
        <f t="shared" si="17"/>
        <v>TAK</v>
      </c>
      <c r="Q44" s="44" t="str">
        <f t="shared" si="17"/>
        <v>TAK</v>
      </c>
    </row>
    <row r="45" spans="1:17" ht="25.5">
      <c r="A45" s="11">
        <v>19</v>
      </c>
      <c r="B45" s="12" t="s">
        <v>73</v>
      </c>
      <c r="C45" s="43">
        <f aca="true" t="shared" si="18" ref="C45:Q45">+(C32-C33)/C6</f>
        <v>0.10407758334799798</v>
      </c>
      <c r="D45" s="43">
        <f t="shared" si="18"/>
        <v>0.1256391971247334</v>
      </c>
      <c r="E45" s="43">
        <f t="shared" si="18"/>
        <v>0.3037556175006564</v>
      </c>
      <c r="F45" s="43">
        <f t="shared" si="18"/>
        <v>0.20148195495675716</v>
      </c>
      <c r="G45" s="43">
        <f t="shared" si="18"/>
        <v>0.23908659306617364</v>
      </c>
      <c r="H45" s="43">
        <f t="shared" si="18"/>
        <v>0.22340512296392667</v>
      </c>
      <c r="I45" s="43">
        <f t="shared" si="18"/>
        <v>0.19537657779689171</v>
      </c>
      <c r="J45" s="43">
        <f t="shared" si="18"/>
        <v>0.16498532043947348</v>
      </c>
      <c r="K45" s="64">
        <f t="shared" si="18"/>
        <v>0.1322389897966376</v>
      </c>
      <c r="L45" s="43">
        <f t="shared" si="18"/>
        <v>0.10181577057044798</v>
      </c>
      <c r="M45" s="43">
        <f t="shared" si="18"/>
        <v>0.07510243070957945</v>
      </c>
      <c r="N45" s="43">
        <f t="shared" si="18"/>
        <v>0.050637830851257275</v>
      </c>
      <c r="O45" s="43">
        <f t="shared" si="18"/>
        <v>0.03213774330911669</v>
      </c>
      <c r="P45" s="43">
        <f t="shared" si="18"/>
        <v>0.014853924563045708</v>
      </c>
      <c r="Q45" s="43">
        <f t="shared" si="18"/>
        <v>0</v>
      </c>
    </row>
    <row r="46" spans="1:17" ht="12.75">
      <c r="A46" s="11">
        <v>20</v>
      </c>
      <c r="B46" s="12" t="s">
        <v>74</v>
      </c>
      <c r="C46" s="32">
        <f aca="true" t="shared" si="19" ref="C46:Q46">C10+C23</f>
        <v>105041901</v>
      </c>
      <c r="D46" s="32">
        <f t="shared" si="19"/>
        <v>116007067</v>
      </c>
      <c r="E46" s="32">
        <f t="shared" si="19"/>
        <v>127608051</v>
      </c>
      <c r="F46" s="32">
        <f t="shared" si="19"/>
        <v>132417840</v>
      </c>
      <c r="G46" s="13">
        <f t="shared" si="19"/>
        <v>130924900</v>
      </c>
      <c r="H46" s="13">
        <f t="shared" si="19"/>
        <v>133728065.82499999</v>
      </c>
      <c r="I46" s="13">
        <f t="shared" si="19"/>
        <v>136636176.370625</v>
      </c>
      <c r="J46" s="13">
        <f t="shared" si="19"/>
        <v>139845776.2798906</v>
      </c>
      <c r="K46" s="59">
        <f t="shared" si="19"/>
        <v>143083637.38688785</v>
      </c>
      <c r="L46" s="13">
        <f t="shared" si="19"/>
        <v>146408782.97156003</v>
      </c>
      <c r="M46" s="13">
        <f t="shared" si="19"/>
        <v>149683355.3628775</v>
      </c>
      <c r="N46" s="13">
        <f t="shared" si="19"/>
        <v>153041847.99558654</v>
      </c>
      <c r="O46" s="13">
        <f t="shared" si="19"/>
        <v>156526888.51548064</v>
      </c>
      <c r="P46" s="13">
        <f t="shared" si="19"/>
        <v>160136168.79985216</v>
      </c>
      <c r="Q46" s="13">
        <f t="shared" si="19"/>
        <v>163810845.11504862</v>
      </c>
    </row>
    <row r="47" spans="1:17" ht="12.75">
      <c r="A47" s="11">
        <v>21</v>
      </c>
      <c r="B47" s="12" t="s">
        <v>75</v>
      </c>
      <c r="C47" s="32">
        <f aca="true" t="shared" si="20" ref="C47:Q47">C26+C46</f>
        <v>121883402</v>
      </c>
      <c r="D47" s="32">
        <f t="shared" si="20"/>
        <v>144302218</v>
      </c>
      <c r="E47" s="32">
        <f t="shared" si="20"/>
        <v>172687518</v>
      </c>
      <c r="F47" s="32">
        <f t="shared" si="20"/>
        <v>174751031</v>
      </c>
      <c r="G47" s="13">
        <f t="shared" si="20"/>
        <v>167392113</v>
      </c>
      <c r="H47" s="13">
        <f t="shared" si="20"/>
        <v>141216675.825</v>
      </c>
      <c r="I47" s="13">
        <f t="shared" si="20"/>
        <v>147757194.370625</v>
      </c>
      <c r="J47" s="13">
        <f t="shared" si="20"/>
        <v>148675350.2798906</v>
      </c>
      <c r="K47" s="59">
        <f t="shared" si="20"/>
        <v>154355009.38688785</v>
      </c>
      <c r="L47" s="13">
        <f t="shared" si="20"/>
        <v>159906549.97156003</v>
      </c>
      <c r="M47" s="13">
        <f t="shared" si="20"/>
        <v>165782331.3628775</v>
      </c>
      <c r="N47" s="13">
        <f t="shared" si="20"/>
        <v>171481110.99558654</v>
      </c>
      <c r="O47" s="13">
        <f t="shared" si="20"/>
        <v>177897828.51548064</v>
      </c>
      <c r="P47" s="13">
        <f t="shared" si="20"/>
        <v>183526920.79985216</v>
      </c>
      <c r="Q47" s="13">
        <f t="shared" si="20"/>
        <v>189397122.11504862</v>
      </c>
    </row>
    <row r="48" spans="1:17" ht="25.5">
      <c r="A48" s="11">
        <v>22</v>
      </c>
      <c r="B48" s="12" t="s">
        <v>76</v>
      </c>
      <c r="C48" s="32">
        <f aca="true" t="shared" si="21" ref="C48:Q48">C6-C47</f>
        <v>8043654</v>
      </c>
      <c r="D48" s="32">
        <f t="shared" si="21"/>
        <v>-6223335</v>
      </c>
      <c r="E48" s="32">
        <f t="shared" si="21"/>
        <v>-26451220</v>
      </c>
      <c r="F48" s="32">
        <f t="shared" si="21"/>
        <v>4744438</v>
      </c>
      <c r="G48" s="13">
        <f t="shared" si="21"/>
        <v>-6039933</v>
      </c>
      <c r="H48" s="13">
        <f t="shared" si="21"/>
        <v>5745124.175000012</v>
      </c>
      <c r="I48" s="13">
        <f t="shared" si="21"/>
        <v>3315878.6293750107</v>
      </c>
      <c r="J48" s="45">
        <f t="shared" si="21"/>
        <v>4280645.64010942</v>
      </c>
      <c r="K48" s="59">
        <f t="shared" si="21"/>
        <v>4260358.38215217</v>
      </c>
      <c r="L48" s="46">
        <f t="shared" si="21"/>
        <v>4260355.669396371</v>
      </c>
      <c r="M48" s="13">
        <f t="shared" si="21"/>
        <v>3966249.0698714256</v>
      </c>
      <c r="N48" s="13">
        <f t="shared" si="21"/>
        <v>3869172.591443062</v>
      </c>
      <c r="O48" s="13">
        <f t="shared" si="21"/>
        <v>3063664.146333933</v>
      </c>
      <c r="P48" s="13">
        <f t="shared" si="21"/>
        <v>3044378.1344786584</v>
      </c>
      <c r="Q48" s="13">
        <f t="shared" si="21"/>
        <v>2771315.78731212</v>
      </c>
    </row>
    <row r="49" spans="1:17" ht="12.75">
      <c r="A49" s="11">
        <v>23</v>
      </c>
      <c r="B49" s="12" t="s">
        <v>77</v>
      </c>
      <c r="C49" s="32">
        <f aca="true" t="shared" si="22" ref="C49:Q49">C17+C19+C28</f>
        <v>0</v>
      </c>
      <c r="D49" s="32">
        <f t="shared" si="22"/>
        <v>13317220</v>
      </c>
      <c r="E49" s="32">
        <f t="shared" si="22"/>
        <v>34915236</v>
      </c>
      <c r="F49" s="32">
        <f t="shared" si="22"/>
        <v>18781780</v>
      </c>
      <c r="G49" s="13">
        <f t="shared" si="22"/>
        <v>19750448</v>
      </c>
      <c r="H49" s="13">
        <f t="shared" si="22"/>
        <v>0</v>
      </c>
      <c r="I49" s="13">
        <f t="shared" si="22"/>
        <v>0.17500001192092896</v>
      </c>
      <c r="J49" s="45">
        <f t="shared" si="22"/>
        <v>-0.19562497735023499</v>
      </c>
      <c r="K49" s="59">
        <f t="shared" si="22"/>
        <v>0.4444844424724579</v>
      </c>
      <c r="L49" s="46">
        <f t="shared" si="22"/>
        <v>-0.17336338758468628</v>
      </c>
      <c r="M49" s="13">
        <f t="shared" si="22"/>
        <v>0.4960329830646515</v>
      </c>
      <c r="N49" s="13">
        <f t="shared" si="22"/>
        <v>-0.4340955913066864</v>
      </c>
      <c r="O49" s="13">
        <f t="shared" si="22"/>
        <v>0.15734747052192688</v>
      </c>
      <c r="P49" s="13">
        <f t="shared" si="22"/>
        <v>0.15734747052192688</v>
      </c>
      <c r="Q49" s="13">
        <f t="shared" si="22"/>
        <v>0.3036814033985138</v>
      </c>
    </row>
    <row r="50" spans="1:17" ht="12.75">
      <c r="A50" s="11">
        <v>24</v>
      </c>
      <c r="B50" s="12" t="s">
        <v>78</v>
      </c>
      <c r="C50" s="32">
        <f aca="true" t="shared" si="23" ref="C50:Q50">C22+C24</f>
        <v>3890709</v>
      </c>
      <c r="D50" s="32">
        <f t="shared" si="23"/>
        <v>5338649</v>
      </c>
      <c r="E50" s="32">
        <f t="shared" si="23"/>
        <v>7780159</v>
      </c>
      <c r="F50" s="32">
        <f t="shared" si="23"/>
        <v>23526218</v>
      </c>
      <c r="G50" s="13">
        <f t="shared" si="23"/>
        <v>13710515</v>
      </c>
      <c r="H50" s="13">
        <f t="shared" si="23"/>
        <v>5745124</v>
      </c>
      <c r="I50" s="13">
        <f t="shared" si="23"/>
        <v>3315879</v>
      </c>
      <c r="J50" s="45">
        <f>J22+J24</f>
        <v>4280646</v>
      </c>
      <c r="K50" s="59">
        <f t="shared" si="23"/>
        <v>4260358</v>
      </c>
      <c r="L50" s="46">
        <f t="shared" si="23"/>
        <v>4260356</v>
      </c>
      <c r="M50" s="13">
        <f t="shared" si="23"/>
        <v>3966249</v>
      </c>
      <c r="N50" s="13">
        <f t="shared" si="23"/>
        <v>3869173</v>
      </c>
      <c r="O50" s="13">
        <f t="shared" si="23"/>
        <v>3063664</v>
      </c>
      <c r="P50" s="13">
        <f t="shared" si="23"/>
        <v>3044378</v>
      </c>
      <c r="Q50" s="13">
        <f t="shared" si="23"/>
        <v>2771316</v>
      </c>
    </row>
    <row r="51" spans="1:17" ht="12.75" hidden="1">
      <c r="A51" s="47">
        <v>24</v>
      </c>
      <c r="B51" s="48" t="s">
        <v>79</v>
      </c>
      <c r="C51" s="49">
        <f aca="true" t="shared" si="24" ref="C51:Q51">+C7-C46</f>
        <v>19161814</v>
      </c>
      <c r="D51" s="49">
        <f t="shared" si="24"/>
        <v>6695808</v>
      </c>
      <c r="E51" s="49">
        <f t="shared" si="24"/>
        <v>-714004</v>
      </c>
      <c r="F51" s="49">
        <f t="shared" si="24"/>
        <v>-751825</v>
      </c>
      <c r="G51" s="50">
        <f t="shared" si="24"/>
        <v>2636997</v>
      </c>
      <c r="H51" s="50">
        <f t="shared" si="24"/>
        <v>7824459.175000012</v>
      </c>
      <c r="I51" s="50">
        <f t="shared" si="24"/>
        <v>10436896.62937501</v>
      </c>
      <c r="J51" s="51">
        <f t="shared" si="24"/>
        <v>13110219.64010942</v>
      </c>
      <c r="K51" s="65">
        <f t="shared" si="24"/>
        <v>15531730.38215217</v>
      </c>
      <c r="L51" s="52">
        <f t="shared" si="24"/>
        <v>17758122.66939637</v>
      </c>
      <c r="M51" s="50">
        <f t="shared" si="24"/>
        <v>20065225.069871426</v>
      </c>
      <c r="N51" s="50">
        <f t="shared" si="24"/>
        <v>22308435.59144306</v>
      </c>
      <c r="O51" s="50">
        <f t="shared" si="24"/>
        <v>24434604.146333933</v>
      </c>
      <c r="P51" s="50">
        <f t="shared" si="24"/>
        <v>26435130.13447866</v>
      </c>
      <c r="Q51" s="50">
        <f t="shared" si="24"/>
        <v>28357592.78731212</v>
      </c>
    </row>
    <row r="52" spans="1:17" ht="12.75" hidden="1">
      <c r="A52" s="47">
        <v>25</v>
      </c>
      <c r="B52" s="48" t="s">
        <v>80</v>
      </c>
      <c r="C52" s="49">
        <f aca="true" t="shared" si="25" ref="C52:Q52">+C7+C17-C46</f>
        <v>19161814</v>
      </c>
      <c r="D52" s="49">
        <f t="shared" si="25"/>
        <v>10848753</v>
      </c>
      <c r="E52" s="49">
        <f t="shared" si="25"/>
        <v>1041232</v>
      </c>
      <c r="F52" s="49">
        <f t="shared" si="25"/>
        <v>-67968</v>
      </c>
      <c r="G52" s="50">
        <f t="shared" si="25"/>
        <v>4264885</v>
      </c>
      <c r="H52" s="50">
        <f t="shared" si="25"/>
        <v>7824459.175000012</v>
      </c>
      <c r="I52" s="50">
        <f t="shared" si="25"/>
        <v>10436896.804375023</v>
      </c>
      <c r="J52" s="51">
        <f t="shared" si="25"/>
        <v>13110219.444484442</v>
      </c>
      <c r="K52" s="65">
        <f t="shared" si="25"/>
        <v>15531730.826636612</v>
      </c>
      <c r="L52" s="52">
        <f t="shared" si="25"/>
        <v>17758122.496032983</v>
      </c>
      <c r="M52" s="50">
        <f t="shared" si="25"/>
        <v>20065225.56590441</v>
      </c>
      <c r="N52" s="50">
        <f t="shared" si="25"/>
        <v>22308435.15734747</v>
      </c>
      <c r="O52" s="50">
        <f t="shared" si="25"/>
        <v>24434604.303681403</v>
      </c>
      <c r="P52" s="50">
        <f t="shared" si="25"/>
        <v>26435130.29182613</v>
      </c>
      <c r="Q52" s="50">
        <f t="shared" si="25"/>
        <v>28357593.090993524</v>
      </c>
    </row>
    <row r="53" spans="1:17" ht="12.75" hidden="1">
      <c r="A53" s="47">
        <v>24</v>
      </c>
      <c r="B53" s="48" t="s">
        <v>81</v>
      </c>
      <c r="C53" s="49">
        <f aca="true" t="shared" si="26" ref="C53:Q53">+C7-C46</f>
        <v>19161814</v>
      </c>
      <c r="D53" s="49">
        <f t="shared" si="26"/>
        <v>6695808</v>
      </c>
      <c r="E53" s="49">
        <f t="shared" si="26"/>
        <v>-714004</v>
      </c>
      <c r="F53" s="49">
        <f t="shared" si="26"/>
        <v>-751825</v>
      </c>
      <c r="G53" s="50">
        <f t="shared" si="26"/>
        <v>2636997</v>
      </c>
      <c r="H53" s="50">
        <f t="shared" si="26"/>
        <v>7824459.175000012</v>
      </c>
      <c r="I53" s="50">
        <f t="shared" si="26"/>
        <v>10436896.62937501</v>
      </c>
      <c r="J53" s="51">
        <f t="shared" si="26"/>
        <v>13110219.64010942</v>
      </c>
      <c r="K53" s="65">
        <f t="shared" si="26"/>
        <v>15531730.38215217</v>
      </c>
      <c r="L53" s="52">
        <f t="shared" si="26"/>
        <v>17758122.66939637</v>
      </c>
      <c r="M53" s="50">
        <f t="shared" si="26"/>
        <v>20065225.069871426</v>
      </c>
      <c r="N53" s="50">
        <f t="shared" si="26"/>
        <v>22308435.59144306</v>
      </c>
      <c r="O53" s="50">
        <f t="shared" si="26"/>
        <v>24434604.146333933</v>
      </c>
      <c r="P53" s="50">
        <f t="shared" si="26"/>
        <v>26435130.13447866</v>
      </c>
      <c r="Q53" s="50">
        <f t="shared" si="26"/>
        <v>28357592.78731212</v>
      </c>
    </row>
    <row r="54" spans="1:17" ht="12.75">
      <c r="A54" s="11">
        <v>25</v>
      </c>
      <c r="B54" s="53" t="s">
        <v>82</v>
      </c>
      <c r="C54" s="32"/>
      <c r="D54" s="32"/>
      <c r="E54" s="32"/>
      <c r="F54" s="32"/>
      <c r="G54" s="13"/>
      <c r="H54" s="13"/>
      <c r="I54" s="13"/>
      <c r="J54" s="45"/>
      <c r="K54" s="59"/>
      <c r="L54" s="46"/>
      <c r="M54" s="13"/>
      <c r="N54" s="13"/>
      <c r="O54" s="13"/>
      <c r="P54" s="13"/>
      <c r="Q54" s="13"/>
    </row>
    <row r="55" spans="1:17" ht="12.75">
      <c r="A55" s="54"/>
      <c r="B55" s="53" t="s">
        <v>83</v>
      </c>
      <c r="C55" s="32"/>
      <c r="D55" s="32"/>
      <c r="E55" s="32"/>
      <c r="F55" s="13">
        <f>F48</f>
        <v>4744438</v>
      </c>
      <c r="G55" s="13"/>
      <c r="H55" s="13">
        <f aca="true" t="shared" si="27" ref="H55:Q55">H48</f>
        <v>5745124.175000012</v>
      </c>
      <c r="I55" s="13">
        <f>I48</f>
        <v>3315878.6293750107</v>
      </c>
      <c r="J55" s="45">
        <f t="shared" si="27"/>
        <v>4280645.64010942</v>
      </c>
      <c r="K55" s="59">
        <f t="shared" si="27"/>
        <v>4260358.38215217</v>
      </c>
      <c r="L55" s="46">
        <f t="shared" si="27"/>
        <v>4260355.669396371</v>
      </c>
      <c r="M55" s="13">
        <f t="shared" si="27"/>
        <v>3966249.0698714256</v>
      </c>
      <c r="N55" s="13">
        <f t="shared" si="27"/>
        <v>3869172.591443062</v>
      </c>
      <c r="O55" s="13">
        <f t="shared" si="27"/>
        <v>3063664.146333933</v>
      </c>
      <c r="P55" s="13">
        <f t="shared" si="27"/>
        <v>3044378.1344786584</v>
      </c>
      <c r="Q55" s="13">
        <f t="shared" si="27"/>
        <v>2771315.78731212</v>
      </c>
    </row>
    <row r="56" spans="1:17" ht="12.75">
      <c r="A56" s="55"/>
      <c r="B56" s="53" t="s">
        <v>84</v>
      </c>
      <c r="C56" s="32"/>
      <c r="D56" s="32"/>
      <c r="E56" s="32"/>
      <c r="F56" s="32"/>
      <c r="G56" s="13"/>
      <c r="H56" s="13"/>
      <c r="I56" s="13"/>
      <c r="J56" s="13"/>
      <c r="K56" s="59"/>
      <c r="L56" s="13"/>
      <c r="M56" s="13"/>
      <c r="N56" s="13"/>
      <c r="O56" s="13"/>
      <c r="P56" s="13"/>
      <c r="Q56" s="13"/>
    </row>
    <row r="57" spans="1:17" ht="12.75">
      <c r="A57" s="11">
        <v>26</v>
      </c>
      <c r="B57" s="53" t="s">
        <v>85</v>
      </c>
      <c r="C57" s="32"/>
      <c r="D57" s="32"/>
      <c r="E57" s="32"/>
      <c r="F57" s="32"/>
      <c r="G57" s="13"/>
      <c r="H57" s="13"/>
      <c r="I57" s="13"/>
      <c r="J57" s="13"/>
      <c r="K57" s="59"/>
      <c r="L57" s="13"/>
      <c r="M57" s="13"/>
      <c r="N57" s="13"/>
      <c r="O57" s="13"/>
      <c r="P57" s="13"/>
      <c r="Q57" s="13"/>
    </row>
    <row r="58" spans="1:17" ht="12.75">
      <c r="A58" s="54"/>
      <c r="B58" s="53" t="s">
        <v>86</v>
      </c>
      <c r="C58" s="32"/>
      <c r="D58" s="32"/>
      <c r="E58" s="32"/>
      <c r="F58" s="13">
        <f>F49</f>
        <v>18781780</v>
      </c>
      <c r="G58" s="13">
        <v>13710515</v>
      </c>
      <c r="H58" s="13">
        <f>H55</f>
        <v>5745124.175000012</v>
      </c>
      <c r="I58" s="13">
        <f>I50</f>
        <v>3315879</v>
      </c>
      <c r="J58" s="13">
        <f>J50</f>
        <v>4280646</v>
      </c>
      <c r="K58" s="59">
        <f aca="true" t="shared" si="28" ref="K58:Q58">K50</f>
        <v>4260358</v>
      </c>
      <c r="L58" s="13">
        <f t="shared" si="28"/>
        <v>4260356</v>
      </c>
      <c r="M58" s="13">
        <f t="shared" si="28"/>
        <v>3966249</v>
      </c>
      <c r="N58" s="13">
        <f t="shared" si="28"/>
        <v>3869173</v>
      </c>
      <c r="O58" s="13">
        <f t="shared" si="28"/>
        <v>3063664</v>
      </c>
      <c r="P58" s="13">
        <f>P50</f>
        <v>3044378</v>
      </c>
      <c r="Q58" s="13">
        <f t="shared" si="28"/>
        <v>2771316</v>
      </c>
    </row>
    <row r="59" spans="1:17" ht="12.75">
      <c r="A59" s="56"/>
      <c r="B59" s="53" t="s">
        <v>87</v>
      </c>
      <c r="C59" s="32"/>
      <c r="D59" s="32"/>
      <c r="E59" s="32"/>
      <c r="F59" s="32"/>
      <c r="G59" s="13"/>
      <c r="H59" s="13"/>
      <c r="I59" s="13"/>
      <c r="J59" s="13"/>
      <c r="K59" s="59"/>
      <c r="L59" s="13"/>
      <c r="M59" s="13"/>
      <c r="N59" s="13"/>
      <c r="O59" s="13"/>
      <c r="P59" s="13"/>
      <c r="Q59" s="13"/>
    </row>
    <row r="60" spans="1:17" ht="12.75">
      <c r="A60" s="55"/>
      <c r="B60" s="53" t="s">
        <v>88</v>
      </c>
      <c r="C60" s="32"/>
      <c r="D60" s="32"/>
      <c r="E60" s="32"/>
      <c r="F60" s="32"/>
      <c r="G60" s="13"/>
      <c r="H60" s="13"/>
      <c r="I60" s="13"/>
      <c r="J60" s="13"/>
      <c r="K60" s="59"/>
      <c r="L60" s="13"/>
      <c r="M60" s="13"/>
      <c r="N60" s="13"/>
      <c r="O60" s="13"/>
      <c r="P60" s="13"/>
      <c r="Q60" s="13"/>
    </row>
  </sheetData>
  <sheetProtection/>
  <mergeCells count="4">
    <mergeCell ref="O3:Q3"/>
    <mergeCell ref="A3:N3"/>
    <mergeCell ref="A31:B31"/>
    <mergeCell ref="A5:B5"/>
  </mergeCells>
  <printOptions/>
  <pageMargins left="0.57" right="0.18" top="0.37" bottom="0.4724409448818898" header="0.5118110236220472" footer="0.5118110236220472"/>
  <pageSetup horizontalDpi="600" verticalDpi="600" orientation="landscape" paperSize="9" scale="70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2012-02-16T09:23:58Z</cp:lastPrinted>
  <dcterms:created xsi:type="dcterms:W3CDTF">2012-01-13T08:38:44Z</dcterms:created>
  <dcterms:modified xsi:type="dcterms:W3CDTF">2012-03-20T10:13:28Z</dcterms:modified>
  <cp:category/>
  <cp:version/>
  <cp:contentType/>
  <cp:contentStatus/>
</cp:coreProperties>
</file>