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Wieloletnia Prognoza Finansowa" sheetId="1" r:id="rId1"/>
    <sheet name="Wykaz przedsięwzięć do WPF" sheetId="2" r:id="rId2"/>
  </sheets>
  <definedNames>
    <definedName name="_xlnm.Print_Area" localSheetId="0">'Wieloletnia Prognoza Finansowa'!$A$2:$Q$60</definedName>
    <definedName name="_xlnm.Print_Area" localSheetId="1">'Wykaz przedsięwzięć do WPF'!$A$1:$P$54</definedName>
    <definedName name="_xlnm.Print_Titles" localSheetId="0">'Wieloletnia Prognoza Finansowa'!$A:$B,'Wieloletnia Prognoza Finansowa'!$4:$4</definedName>
    <definedName name="_xlnm.Print_Titles" localSheetId="1">'Wykaz przedsięwzięć do WPF'!$2:$3</definedName>
  </definedNames>
  <calcPr fullCalcOnLoad="1"/>
</workbook>
</file>

<file path=xl/sharedStrings.xml><?xml version="1.0" encoding="utf-8"?>
<sst xmlns="http://schemas.openxmlformats.org/spreadsheetml/2006/main" count="178" uniqueCount="147">
  <si>
    <t>Lp</t>
  </si>
  <si>
    <t>Wyszczegolnienie</t>
  </si>
  <si>
    <t>Wykonanie 2009</t>
  </si>
  <si>
    <t>Plan 3kw 2010</t>
  </si>
  <si>
    <t>Przewidywane wykonanie 2010</t>
  </si>
  <si>
    <t>Prognoza 2012</t>
  </si>
  <si>
    <t>Prognoza 2013</t>
  </si>
  <si>
    <t>Prognoza 2014</t>
  </si>
  <si>
    <t>Wykonanie 2008</t>
  </si>
  <si>
    <t>Prognoza 2015</t>
  </si>
  <si>
    <t>Prognoza 2016</t>
  </si>
  <si>
    <t>Prognoza 2017</t>
  </si>
  <si>
    <t>Prognoza 2018</t>
  </si>
  <si>
    <t>Dochody ogółem, z tego:</t>
  </si>
  <si>
    <t>dochody bieżące</t>
  </si>
  <si>
    <t>dochody majątkowe, w tym:</t>
  </si>
  <si>
    <t>ze sprzedaży majątku</t>
  </si>
  <si>
    <t>z tytułu gwarancji i poręczeń, w tym:</t>
  </si>
  <si>
    <t>Różnica (1-2)</t>
  </si>
  <si>
    <t>Inne przychody nie związane z zaciągnięciem długu</t>
  </si>
  <si>
    <t>Środki do dyspozycji (3+4+5)</t>
  </si>
  <si>
    <t>Spłata i obsługa długu, z tego:</t>
  </si>
  <si>
    <t>rozchody z tytułu spłaty rat kapitałowych oraz wykupu papierów wartościowych</t>
  </si>
  <si>
    <t>wydatki na obsługę długu</t>
  </si>
  <si>
    <t>Inne rozchody (bez spłaty długu np. udzielane pożyczki)</t>
  </si>
  <si>
    <t>Środki do dyspozycji (6-7-8)</t>
  </si>
  <si>
    <t>Wydatki majątkowe, w tym:</t>
  </si>
  <si>
    <t>Przychody (kredyty, pożyczki, emisje obligacji)</t>
  </si>
  <si>
    <t>Rozliczenie budżetu (9-10+11)</t>
  </si>
  <si>
    <t>Kwoty zobowiązań związku współtworzonego przez jst przypadających do spłaty w danym roku budżetowym podlegająca doliczeniu zgodnie z art..244 ufp</t>
  </si>
  <si>
    <t>Wydatki bieżące razem (2+7b)</t>
  </si>
  <si>
    <t>Wydatki ogółem (10+19)</t>
  </si>
  <si>
    <t>Przychody budżetu (4+5+11)</t>
  </si>
  <si>
    <t>Rozchody budżetu (7a+8)</t>
  </si>
  <si>
    <t>1a</t>
  </si>
  <si>
    <t>1b</t>
  </si>
  <si>
    <t>1c</t>
  </si>
  <si>
    <t>2a</t>
  </si>
  <si>
    <t>2b</t>
  </si>
  <si>
    <t>2c</t>
  </si>
  <si>
    <t>2d</t>
  </si>
  <si>
    <t>2e</t>
  </si>
  <si>
    <t>4a</t>
  </si>
  <si>
    <t>7a</t>
  </si>
  <si>
    <t>7b</t>
  </si>
  <si>
    <t>10a</t>
  </si>
  <si>
    <t>13a</t>
  </si>
  <si>
    <t>13b</t>
  </si>
  <si>
    <t>15a</t>
  </si>
  <si>
    <t>związane z funkcjonowaniem jst</t>
  </si>
  <si>
    <t>Zadłużenie / dochody ogółem                                 [(13-13a):1]-max 60% z art..170 sufp</t>
  </si>
  <si>
    <t>Nazwa i cel</t>
  </si>
  <si>
    <t>Okres realizacji</t>
  </si>
  <si>
    <t>od</t>
  </si>
  <si>
    <t>do</t>
  </si>
  <si>
    <t>Łączne nakłady finansowe</t>
  </si>
  <si>
    <t>Limit 2011</t>
  </si>
  <si>
    <t>Limit 2012</t>
  </si>
  <si>
    <t>Limit 2013</t>
  </si>
  <si>
    <t>Limit 2014</t>
  </si>
  <si>
    <t>Limit 2015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</si>
  <si>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</si>
  <si>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</si>
  <si>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</si>
  <si>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</si>
  <si>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b) programy, projekty lub zadania związane z umowami partnerstwa publiczno-prawnego (razem)</t>
  </si>
  <si>
    <t>2) umowy, których realizacja w roku budżetowym i w latach następnych jest niezbędna dla zapewnienia ciągłości działania jednostki i których płatności przypadają w okresie dłuższym niż rok</t>
  </si>
  <si>
    <t>3) gwarancje i poręczenia udzielane przez jednostki samorządu terytorialnego (razem)</t>
  </si>
  <si>
    <t>Wydatki bieżące (bez odsetek i prowizji od: kredytów i pożyczek oraz wyemitowanych papierów wartościowych), w tym:</t>
  </si>
  <si>
    <t>wynagrodzenia i składki od nich naliczane</t>
  </si>
  <si>
    <t>wydatki bieżące objęte limitem art.226 ust.4 ufp (przedsięwzięcia WPF)</t>
  </si>
  <si>
    <t>Jednostka odpowiedzialna lub koordynująca</t>
  </si>
  <si>
    <t>a) programy, projekty lub zadania związane z programami realizowanymi z udziałem środków, o których mowa w art..5 ust.1 pkt 2 i 3 (razem)</t>
  </si>
  <si>
    <t>Prognoza 2019</t>
  </si>
  <si>
    <t>Prognoza 2020</t>
  </si>
  <si>
    <t>gwarancje i poręczenia podlegające wyłączeniu z limitów spłaty zobowązań z art.243 ufp/169 sufp</t>
  </si>
  <si>
    <t>Prognoza 2021</t>
  </si>
  <si>
    <t>Dochody bieżące-wydatki bieżące&gt;0 (1a-19)</t>
  </si>
  <si>
    <t>Ograniczenie z art..242 (1a-19)(Db-Wb&gt;0)</t>
  </si>
  <si>
    <t>Ograniczenie z art..242ust.3 (1a+4-19)(Db+WŚ-Wb&gt;0)</t>
  </si>
  <si>
    <t>Spełnienie wskaźnika spłaty z art.169 sufp</t>
  </si>
  <si>
    <t>Maksymalny dopuszczalny wskaźnik spłaty z art..243 ufp (prawa strona wzoru dla 1 roku)[(1a+1c-19)/1]</t>
  </si>
  <si>
    <t>Starostwo Powiatowe</t>
  </si>
  <si>
    <t>Fascynacja budownictwem w nowej odsłonie - podniesienie wyników zdawalności egzaminów zawodowych uczniów</t>
  </si>
  <si>
    <t>ZSB Cieszyn</t>
  </si>
  <si>
    <t>ZSGH Wisła</t>
  </si>
  <si>
    <t>Szkoła sukcesu - podniensienie jakości i rozszerzenie oferty edukacyjnej szkoły, poprawa procesu kształcenia, umocnienie i zwiększenie umiejętnośąci uczniów</t>
  </si>
  <si>
    <t>ZS Cieszyn</t>
  </si>
  <si>
    <t>Przebudowa drogi powiatowej Goleszów- Hermanice - Ustroń - usprawnienie ruchu drogowego oraz poprawa bezpieczeństwa na drodze</t>
  </si>
  <si>
    <t>Poprawa spójności układu komunikacyjnego Cieszyna etap I, część 2 - budowa drogi łączącej ul.Frysztacką z  Graniczną ( ul. Ładna - Boczna) - poprawa spójności układu komunikacyjnego</t>
  </si>
  <si>
    <t xml:space="preserve">Stworzenie kompleksowego systemu informacji przestrzennej na terenie powiatu cieszyńskiego - wdrożenie informacyjnego systemu bazy danych </t>
  </si>
  <si>
    <t>Kompleksowa termomodernizacja budynków szkolnych ZSR w Międzyświeciu - zmniejszenie zapotrzebowania na energię cieplną oraz ilości substancji zanieczyszczających powietrze</t>
  </si>
  <si>
    <t>Modernizacja Szpitala Śląskiego w Cieszynie –etap II- utworzenie nowoczesnego bloku operacyjnego wraz z zapleczem diagnostycznym - utworzenie nowoczesnego bloku operacyjnego wraz z zapleczem diagnostycznym</t>
  </si>
  <si>
    <t>Modernizacja i rozbudowa Szpitala Śląskiego w Cieszynie - etap II- wyposażenie Szpitalnego Oddziału Ratunkowego - wyposażenie Szpitalnego Oddziału Ratunkowego</t>
  </si>
  <si>
    <t>Kompleksowa modernizacja SSM "Zaolzianka" w Istebnej - poprawa jakości infrastruktury turystycznej w Beskidzie Śląskim</t>
  </si>
  <si>
    <t>Termomodernizacja budynku szkoły Zespołu Szkół Technicznych w Cieszynie (kontynuacja zadania z 2010 r.)</t>
  </si>
  <si>
    <t>Kompleksowe ubezpieczenie majątku i odpowiedzialności cywilnej Powiatu Cieszyńskiego i jedgo jednostek organizacyjnych</t>
  </si>
  <si>
    <t xml:space="preserve">Realizacja zadań z zakresu zimowego utrzymania dróg powiatowych </t>
  </si>
  <si>
    <t>Poręczenie pozyczki WFOŚiGW dla ZZOZ-u dla zadania "Termomodernizacja Szpitala Śląskiego przy ul. Bielskiej w Cieszynie</t>
  </si>
  <si>
    <t>Nowa jakość -nowe możliwości II - nawiązanie szerokiej współpracy z lokalnymi pracodawcami</t>
  </si>
  <si>
    <t>PUP Cieszyn</t>
  </si>
  <si>
    <t>Centrum Partnerstwa Lokalnego - promocja partnerstwa lokalnego</t>
  </si>
  <si>
    <t>Planowana łączna kwota spłaty zobowiązań z wyłączeniem unijnych (art..243 ust.3)[(7a+7b+ 2c-13a)/1]</t>
  </si>
  <si>
    <t xml:space="preserve">Maksymalny dopuszczalny wskaźnik spłaty z art..243 ufp (prawa strona wzoru tj. średnia dla 3 lat) </t>
  </si>
  <si>
    <t xml:space="preserve">średnia z 3 lat (prawa strona wzoru tj. średnia dla 3 lat) </t>
  </si>
  <si>
    <t>Realizacja zadań z zakresu rejestracji pojazdów i wydawania praw jazdy</t>
  </si>
  <si>
    <t>Limit 2016</t>
  </si>
  <si>
    <t>Limit 2017</t>
  </si>
  <si>
    <t>Limit 2018</t>
  </si>
  <si>
    <t>Limit 2019</t>
  </si>
  <si>
    <t>c) programy, projekty lub zadania pozostałe                                                                                                                                                                                                                       (inne niż wymienione w lit a i b) (razem)</t>
  </si>
  <si>
    <t>Realizacja zadań dot. dostawy tablic rejestracyjnych</t>
  </si>
  <si>
    <t xml:space="preserve">WIELOLETNIA PROGNOZA FINANSOWA POWIATU CIESZYŃSKIEGO </t>
  </si>
  <si>
    <t>Wykaz przedsięwzięć realizowanych w latach 2011 - 2019</t>
  </si>
  <si>
    <t>LIMITY ZOBOWIĄZAŃ</t>
  </si>
  <si>
    <t>Realizacja zadań z zakresu usług teleinformatycznych</t>
  </si>
  <si>
    <t>Realizacja zadań z zakresu usług zdrowotnych</t>
  </si>
  <si>
    <t>Realizacja zadań z zakresu konserwacji dźwigu</t>
  </si>
  <si>
    <t>wydatki majątkowe objęte limitem art.226 ust.4 ufp (przedsięwzięcia WPF)</t>
  </si>
  <si>
    <t>Prognoza 2011</t>
  </si>
  <si>
    <t>kwota wyłączeń z art.243 ust.3 pkt 1 ufp oraz art.170 ust.3 sufp przypadającej na dany rok budżetowy</t>
  </si>
  <si>
    <t>łączna kwota wyłączeń z art.243 ust.3 pkt 1 ufp oraz art.170 ust.3 sufp</t>
  </si>
  <si>
    <t>Kulinarne tajemnice hiszpańskich wysp - poszerzenie wiedzy i zdobycie praktycznych umiejętności zawodowych uczniów, rozwój i sprawdzenie własnych kompetencji zawodowych</t>
  </si>
  <si>
    <t>Planowana łączna kwota spłaty zobowiązań [(7a+7b+ 2c- 13a)/1]</t>
  </si>
  <si>
    <t>załącznik nr 1</t>
  </si>
  <si>
    <t>załącznik nr 2</t>
  </si>
  <si>
    <t>CZĘŚĆ II - Prognoza kwoty długu</t>
  </si>
  <si>
    <t>spłata długu</t>
  </si>
  <si>
    <t xml:space="preserve">z dochodów własnych </t>
  </si>
  <si>
    <t>z kredytów</t>
  </si>
  <si>
    <t>z pożyczek</t>
  </si>
  <si>
    <t>Sposób sfinansowania spłaty długu:</t>
  </si>
  <si>
    <t>Opracowanie planów urządzenia lasu dla lasów nie stanowiących własności Skarbu Państwa należacych do osób fizycznych w Nadleśnictwach Wisła i Ustroń obejmujących obszar Gmin: Istebna, Brenna, Skoczów, Goleszów, Cieszyn, Hazlach, Dębowiec, Zebrzydowice, Strumień i Chybie wraz z przeprowadzeniem postępowania w sprawie strategicznej oceny oddziaływania na środowisko</t>
  </si>
  <si>
    <t>CZĘŚĆ I - tabelaryczna</t>
  </si>
  <si>
    <t>Obsługa prawna</t>
  </si>
  <si>
    <t>Przeznaczenie nadwyżki:</t>
  </si>
  <si>
    <t>sfinansowanie deficytu</t>
  </si>
  <si>
    <t>Wynik budżetu (1-20) (nadwyżka/deficyt)</t>
  </si>
  <si>
    <t>Modernizacja ewidencji gruntów i budynków gminy Goleszów</t>
  </si>
  <si>
    <t>Nadwyżka budżetowa z lat ubiegłych plus wolne środki, zgodnie z art. 217 ufp, w tym:</t>
  </si>
  <si>
    <t>nadwyżka budżetowa z lat ubiegłych plus wolne środki, zgodnie z art. 217 ufp, angażowane na pokrycie deficytu budżetu roku bieżącego</t>
  </si>
  <si>
    <t>Realizacja zadań dot. modernizacji ewidencji gruntów i budynków dla gminy Istebna</t>
  </si>
  <si>
    <t>Spełnienie wskaźnika spłaty z art243 ufp po uwzględnieniu art.244 ufp</t>
  </si>
  <si>
    <t xml:space="preserve">Remont instalacji elektrycznej w ZSGH w Wiśle </t>
  </si>
  <si>
    <r>
      <t xml:space="preserve">Planowana łączna kwota spłaty zobowiązań do dochodów ogółem - max 15% z art. </t>
    </r>
    <r>
      <rPr>
        <sz val="10"/>
        <rFont val="Arial"/>
        <family val="2"/>
      </rPr>
      <t xml:space="preserve">169 sufp </t>
    </r>
  </si>
  <si>
    <t xml:space="preserve">Kwota długu, </t>
  </si>
  <si>
    <t>łączna kwota wyłączeń z art.243 ust.3 pkt 1 ufp oraz art.169 ust.3 sufp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</si>
</sst>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000"/>
    <numFmt numFmtId="166" formatCode="0.0"/>
    <numFmt numFmtId="167" formatCode="#,##0.0"/>
    <numFmt numFmtId="168" formatCode="#,##0_ ;\-#,##0\ "/>
    <numFmt numFmtId="169" formatCode="#,##0\ _z_ł"/>
  </numFmts>
  <fonts count="2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7" borderId="1" applyNumberFormat="0" applyAlignment="0" applyProtection="0"/>
    <xf numFmtId="0" fontId="7" fillId="14" borderId="2" applyNumberFormat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4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" fontId="0" fillId="0" borderId="10" xfId="0" applyNumberFormat="1" applyBorder="1" applyAlignment="1">
      <alignment/>
    </xf>
    <xf numFmtId="0" fontId="0" fillId="15" borderId="10" xfId="0" applyFill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0" fillId="15" borderId="10" xfId="0" applyFill="1" applyBorder="1" applyAlignment="1">
      <alignment horizontal="center" vertical="top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top"/>
    </xf>
    <xf numFmtId="0" fontId="1" fillId="18" borderId="10" xfId="0" applyFont="1" applyFill="1" applyBorder="1" applyAlignment="1">
      <alignment vertical="top"/>
    </xf>
    <xf numFmtId="3" fontId="1" fillId="18" borderId="10" xfId="0" applyNumberFormat="1" applyFont="1" applyFill="1" applyBorder="1" applyAlignment="1">
      <alignment vertical="top"/>
    </xf>
    <xf numFmtId="0" fontId="1" fillId="2" borderId="10" xfId="0" applyFont="1" applyFill="1" applyBorder="1" applyAlignment="1">
      <alignment vertical="top"/>
    </xf>
    <xf numFmtId="3" fontId="1" fillId="2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3" fontId="2" fillId="0" borderId="10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3" fontId="0" fillId="0" borderId="10" xfId="0" applyNumberFormat="1" applyBorder="1" applyAlignment="1">
      <alignment vertical="top"/>
    </xf>
    <xf numFmtId="0" fontId="0" fillId="15" borderId="10" xfId="0" applyFill="1" applyBorder="1" applyAlignment="1">
      <alignment vertical="top"/>
    </xf>
    <xf numFmtId="0" fontId="0" fillId="2" borderId="10" xfId="0" applyFill="1" applyBorder="1" applyAlignment="1">
      <alignment vertical="top" wrapText="1"/>
    </xf>
    <xf numFmtId="0" fontId="3" fillId="0" borderId="10" xfId="0" applyFont="1" applyBorder="1" applyAlignment="1">
      <alignment vertical="top"/>
    </xf>
    <xf numFmtId="4" fontId="0" fillId="0" borderId="0" xfId="0" applyNumberFormat="1" applyBorder="1" applyAlignment="1">
      <alignment/>
    </xf>
    <xf numFmtId="0" fontId="0" fillId="2" borderId="10" xfId="0" applyFill="1" applyBorder="1" applyAlignment="1">
      <alignment horizontal="center" vertical="top"/>
    </xf>
    <xf numFmtId="0" fontId="0" fillId="2" borderId="0" xfId="0" applyFill="1" applyBorder="1" applyAlignment="1">
      <alignment/>
    </xf>
    <xf numFmtId="0" fontId="0" fillId="15" borderId="0" xfId="0" applyFill="1" applyBorder="1" applyAlignment="1">
      <alignment/>
    </xf>
    <xf numFmtId="0" fontId="0" fillId="0" borderId="10" xfId="0" applyBorder="1" applyAlignment="1">
      <alignment horizontal="left" vertical="top" wrapText="1"/>
    </xf>
    <xf numFmtId="4" fontId="1" fillId="0" borderId="10" xfId="0" applyNumberFormat="1" applyFont="1" applyBorder="1" applyAlignment="1">
      <alignment vertical="center" wrapText="1"/>
    </xf>
    <xf numFmtId="4" fontId="0" fillId="15" borderId="10" xfId="52" applyNumberFormat="1" applyFont="1" applyFill="1" applyBorder="1" applyAlignment="1">
      <alignment/>
    </xf>
    <xf numFmtId="4" fontId="0" fillId="18" borderId="10" xfId="52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18" borderId="11" xfId="0" applyFont="1" applyFill="1" applyBorder="1" applyAlignment="1">
      <alignment vertical="top"/>
    </xf>
    <xf numFmtId="0" fontId="1" fillId="18" borderId="12" xfId="0" applyFont="1" applyFill="1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" fontId="1" fillId="0" borderId="10" xfId="0" applyNumberFormat="1" applyFont="1" applyBorder="1" applyAlignment="1">
      <alignment vertical="center"/>
    </xf>
    <xf numFmtId="10" fontId="0" fillId="18" borderId="10" xfId="52" applyNumberFormat="1" applyFont="1" applyFill="1" applyBorder="1" applyAlignment="1">
      <alignment/>
    </xf>
    <xf numFmtId="10" fontId="0" fillId="0" borderId="10" xfId="52" applyNumberFormat="1" applyFont="1" applyBorder="1" applyAlignment="1">
      <alignment/>
    </xf>
    <xf numFmtId="0" fontId="0" fillId="0" borderId="10" xfId="0" applyFill="1" applyBorder="1" applyAlignment="1">
      <alignment vertical="top"/>
    </xf>
    <xf numFmtId="3" fontId="0" fillId="0" borderId="10" xfId="0" applyNumberFormat="1" applyFill="1" applyBorder="1" applyAlignment="1">
      <alignment vertical="top"/>
    </xf>
    <xf numFmtId="3" fontId="1" fillId="0" borderId="10" xfId="0" applyNumberFormat="1" applyFont="1" applyFill="1" applyBorder="1" applyAlignment="1">
      <alignment vertical="top"/>
    </xf>
    <xf numFmtId="0" fontId="2" fillId="18" borderId="11" xfId="0" applyFont="1" applyFill="1" applyBorder="1" applyAlignment="1">
      <alignment vertical="top"/>
    </xf>
    <xf numFmtId="0" fontId="23" fillId="0" borderId="11" xfId="0" applyFont="1" applyBorder="1" applyAlignment="1">
      <alignment vertical="top"/>
    </xf>
    <xf numFmtId="0" fontId="23" fillId="18" borderId="11" xfId="0" applyFont="1" applyFill="1" applyBorder="1" applyAlignment="1">
      <alignment vertical="top"/>
    </xf>
    <xf numFmtId="0" fontId="23" fillId="2" borderId="11" xfId="0" applyFont="1" applyFill="1" applyBorder="1" applyAlignment="1">
      <alignment vertical="top"/>
    </xf>
    <xf numFmtId="3" fontId="22" fillId="0" borderId="10" xfId="0" applyNumberFormat="1" applyFont="1" applyBorder="1" applyAlignment="1">
      <alignment vertical="top"/>
    </xf>
    <xf numFmtId="3" fontId="22" fillId="18" borderId="10" xfId="0" applyNumberFormat="1" applyFont="1" applyFill="1" applyBorder="1" applyAlignment="1">
      <alignment vertical="top"/>
    </xf>
    <xf numFmtId="3" fontId="22" fillId="2" borderId="10" xfId="0" applyNumberFormat="1" applyFont="1" applyFill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3" fontId="3" fillId="0" borderId="10" xfId="0" applyNumberFormat="1" applyFont="1" applyBorder="1" applyAlignment="1">
      <alignment vertical="top"/>
    </xf>
    <xf numFmtId="0" fontId="3" fillId="18" borderId="11" xfId="0" applyFont="1" applyFill="1" applyBorder="1" applyAlignment="1">
      <alignment vertical="top"/>
    </xf>
    <xf numFmtId="0" fontId="24" fillId="18" borderId="12" xfId="0" applyFont="1" applyFill="1" applyBorder="1" applyAlignment="1">
      <alignment vertical="top"/>
    </xf>
    <xf numFmtId="0" fontId="24" fillId="18" borderId="10" xfId="0" applyFont="1" applyFill="1" applyBorder="1" applyAlignment="1">
      <alignment vertical="top"/>
    </xf>
    <xf numFmtId="3" fontId="24" fillId="18" borderId="10" xfId="0" applyNumberFormat="1" applyFont="1" applyFill="1" applyBorder="1" applyAlignment="1">
      <alignment vertical="top"/>
    </xf>
    <xf numFmtId="0" fontId="3" fillId="2" borderId="11" xfId="0" applyFont="1" applyFill="1" applyBorder="1" applyAlignment="1">
      <alignment vertical="top"/>
    </xf>
    <xf numFmtId="0" fontId="24" fillId="2" borderId="12" xfId="0" applyFont="1" applyFill="1" applyBorder="1" applyAlignment="1">
      <alignment vertical="top"/>
    </xf>
    <xf numFmtId="0" fontId="24" fillId="2" borderId="10" xfId="0" applyFont="1" applyFill="1" applyBorder="1" applyAlignment="1">
      <alignment vertical="top"/>
    </xf>
    <xf numFmtId="3" fontId="24" fillId="2" borderId="10" xfId="0" applyNumberFormat="1" applyFont="1" applyFill="1" applyBorder="1" applyAlignment="1">
      <alignment vertical="top"/>
    </xf>
    <xf numFmtId="0" fontId="23" fillId="0" borderId="12" xfId="0" applyFont="1" applyBorder="1" applyAlignment="1">
      <alignment vertical="top"/>
    </xf>
    <xf numFmtId="0" fontId="23" fillId="0" borderId="10" xfId="0" applyFont="1" applyBorder="1" applyAlignment="1">
      <alignment vertical="top"/>
    </xf>
    <xf numFmtId="3" fontId="23" fillId="0" borderId="10" xfId="0" applyNumberFormat="1" applyFont="1" applyBorder="1" applyAlignment="1">
      <alignment vertical="top"/>
    </xf>
    <xf numFmtId="0" fontId="23" fillId="18" borderId="12" xfId="0" applyFont="1" applyFill="1" applyBorder="1" applyAlignment="1">
      <alignment vertical="top"/>
    </xf>
    <xf numFmtId="0" fontId="23" fillId="18" borderId="10" xfId="0" applyFont="1" applyFill="1" applyBorder="1" applyAlignment="1">
      <alignment vertical="top"/>
    </xf>
    <xf numFmtId="3" fontId="23" fillId="18" borderId="10" xfId="0" applyNumberFormat="1" applyFont="1" applyFill="1" applyBorder="1" applyAlignment="1">
      <alignment vertical="top"/>
    </xf>
    <xf numFmtId="0" fontId="23" fillId="2" borderId="12" xfId="0" applyFont="1" applyFill="1" applyBorder="1" applyAlignment="1">
      <alignment vertical="top"/>
    </xf>
    <xf numFmtId="0" fontId="23" fillId="2" borderId="10" xfId="0" applyFont="1" applyFill="1" applyBorder="1" applyAlignment="1">
      <alignment vertical="top"/>
    </xf>
    <xf numFmtId="3" fontId="23" fillId="2" borderId="10" xfId="0" applyNumberFormat="1" applyFont="1" applyFill="1" applyBorder="1" applyAlignment="1">
      <alignment vertical="top"/>
    </xf>
    <xf numFmtId="0" fontId="1" fillId="2" borderId="10" xfId="0" applyFont="1" applyFill="1" applyBorder="1" applyAlignment="1">
      <alignment vertical="top" wrapText="1"/>
    </xf>
    <xf numFmtId="0" fontId="2" fillId="18" borderId="10" xfId="0" applyFont="1" applyFill="1" applyBorder="1" applyAlignment="1">
      <alignment vertical="top"/>
    </xf>
    <xf numFmtId="3" fontId="2" fillId="18" borderId="10" xfId="0" applyNumberFormat="1" applyFont="1" applyFill="1" applyBorder="1" applyAlignment="1">
      <alignment vertical="top"/>
    </xf>
    <xf numFmtId="0" fontId="2" fillId="18" borderId="12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3" fontId="2" fillId="2" borderId="10" xfId="0" applyNumberFormat="1" applyFont="1" applyFill="1" applyBorder="1" applyAlignment="1">
      <alignment vertical="top"/>
    </xf>
    <xf numFmtId="0" fontId="0" fillId="0" borderId="11" xfId="0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vertical="top" wrapText="1"/>
    </xf>
    <xf numFmtId="3" fontId="0" fillId="0" borderId="13" xfId="0" applyNumberFormat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0" xfId="0" applyNumberFormat="1" applyFont="1" applyFill="1" applyBorder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3" fontId="0" fillId="0" borderId="0" xfId="0" applyNumberForma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vertical="top" wrapText="1"/>
    </xf>
    <xf numFmtId="3" fontId="1" fillId="0" borderId="10" xfId="0" applyNumberFormat="1" applyFont="1" applyBorder="1" applyAlignment="1">
      <alignment vertical="center"/>
    </xf>
    <xf numFmtId="3" fontId="0" fillId="15" borderId="10" xfId="52" applyNumberFormat="1" applyFont="1" applyFill="1" applyBorder="1" applyAlignment="1">
      <alignment/>
    </xf>
    <xf numFmtId="3" fontId="0" fillId="18" borderId="10" xfId="52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168" fontId="1" fillId="0" borderId="10" xfId="0" applyNumberFormat="1" applyFont="1" applyBorder="1" applyAlignment="1">
      <alignment/>
    </xf>
    <xf numFmtId="0" fontId="1" fillId="0" borderId="12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3" fontId="0" fillId="0" borderId="10" xfId="0" applyNumberFormat="1" applyFont="1" applyBorder="1" applyAlignment="1">
      <alignment/>
    </xf>
    <xf numFmtId="0" fontId="1" fillId="15" borderId="10" xfId="0" applyFont="1" applyFill="1" applyBorder="1" applyAlignment="1">
      <alignment vertical="top"/>
    </xf>
    <xf numFmtId="3" fontId="0" fillId="0" borderId="10" xfId="52" applyNumberFormat="1" applyFont="1" applyFill="1" applyBorder="1" applyAlignment="1">
      <alignment horizontal="right"/>
    </xf>
    <xf numFmtId="4" fontId="0" fillId="0" borderId="10" xfId="52" applyNumberFormat="1" applyFont="1" applyFill="1" applyBorder="1" applyAlignment="1">
      <alignment/>
    </xf>
    <xf numFmtId="3" fontId="0" fillId="0" borderId="10" xfId="52" applyNumberFormat="1" applyFont="1" applyFill="1" applyBorder="1" applyAlignment="1">
      <alignment/>
    </xf>
    <xf numFmtId="0" fontId="22" fillId="0" borderId="17" xfId="0" applyFont="1" applyBorder="1" applyAlignment="1">
      <alignment horizontal="right" vertical="top"/>
    </xf>
    <xf numFmtId="0" fontId="22" fillId="0" borderId="17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8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right" vertical="top"/>
    </xf>
    <xf numFmtId="0" fontId="1" fillId="0" borderId="12" xfId="0" applyFont="1" applyBorder="1" applyAlignment="1">
      <alignment horizontal="right"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2" fillId="18" borderId="11" xfId="0" applyFont="1" applyFill="1" applyBorder="1" applyAlignment="1">
      <alignment horizontal="left" vertical="top"/>
    </xf>
    <xf numFmtId="0" fontId="2" fillId="18" borderId="12" xfId="0" applyFont="1" applyFill="1" applyBorder="1" applyAlignment="1">
      <alignment horizontal="left" vertical="top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top"/>
    </xf>
    <xf numFmtId="0" fontId="1" fillId="18" borderId="11" xfId="0" applyFont="1" applyFill="1" applyBorder="1" applyAlignment="1">
      <alignment horizontal="left" vertical="top"/>
    </xf>
    <xf numFmtId="0" fontId="1" fillId="18" borderId="12" xfId="0" applyFont="1" applyFill="1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60"/>
  <sheetViews>
    <sheetView tabSelected="1" view="pageBreakPreview" zoomScaleSheetLayoutView="100" zoomScalePageLayoutView="0" workbookViewId="0" topLeftCell="A1">
      <pane xSplit="2" ySplit="4" topLeftCell="H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Q27" sqref="Q27"/>
    </sheetView>
  </sheetViews>
  <sheetFormatPr defaultColWidth="9.140625" defaultRowHeight="12.75"/>
  <cols>
    <col min="1" max="1" width="4.140625" style="3" customWidth="1"/>
    <col min="2" max="2" width="34.57421875" style="5" customWidth="1"/>
    <col min="3" max="3" width="14.00390625" style="29" hidden="1" customWidth="1"/>
    <col min="4" max="4" width="14.140625" style="29" hidden="1" customWidth="1"/>
    <col min="5" max="5" width="13.8515625" style="29" hidden="1" customWidth="1"/>
    <col min="6" max="6" width="14.421875" style="29" hidden="1" customWidth="1"/>
    <col min="7" max="7" width="14.00390625" style="29" bestFit="1" customWidth="1"/>
    <col min="8" max="8" width="14.28125" style="29" customWidth="1"/>
    <col min="9" max="10" width="13.8515625" style="29" customWidth="1"/>
    <col min="11" max="11" width="14.57421875" style="29" bestFit="1" customWidth="1"/>
    <col min="12" max="12" width="13.421875" style="98" customWidth="1"/>
    <col min="13" max="13" width="13.421875" style="29" customWidth="1"/>
    <col min="14" max="17" width="13.57421875" style="29" bestFit="1" customWidth="1"/>
    <col min="18" max="16384" width="9.140625" style="4" customWidth="1"/>
  </cols>
  <sheetData>
    <row r="3" spans="1:17" ht="22.5" customHeight="1">
      <c r="A3" s="120" t="s">
        <v>112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19" t="s">
        <v>124</v>
      </c>
      <c r="Q3" s="119"/>
    </row>
    <row r="4" spans="1:17" s="8" customFormat="1" ht="38.25">
      <c r="A4" s="6" t="s">
        <v>0</v>
      </c>
      <c r="B4" s="7" t="s">
        <v>1</v>
      </c>
      <c r="C4" s="34" t="s">
        <v>8</v>
      </c>
      <c r="D4" s="34" t="s">
        <v>2</v>
      </c>
      <c r="E4" s="34" t="s">
        <v>3</v>
      </c>
      <c r="F4" s="34" t="s">
        <v>4</v>
      </c>
      <c r="G4" s="34" t="s">
        <v>119</v>
      </c>
      <c r="H4" s="34" t="s">
        <v>5</v>
      </c>
      <c r="I4" s="34" t="s">
        <v>6</v>
      </c>
      <c r="J4" s="34" t="s">
        <v>7</v>
      </c>
      <c r="K4" s="34" t="s">
        <v>9</v>
      </c>
      <c r="L4" s="101" t="s">
        <v>10</v>
      </c>
      <c r="M4" s="48" t="s">
        <v>11</v>
      </c>
      <c r="N4" s="34" t="s">
        <v>12</v>
      </c>
      <c r="O4" s="34" t="s">
        <v>73</v>
      </c>
      <c r="P4" s="34" t="s">
        <v>74</v>
      </c>
      <c r="Q4" s="34" t="s">
        <v>76</v>
      </c>
    </row>
    <row r="5" spans="1:17" s="8" customFormat="1" ht="22.5" customHeight="1">
      <c r="A5" s="123" t="s">
        <v>133</v>
      </c>
      <c r="B5" s="124"/>
      <c r="C5" s="34"/>
      <c r="D5" s="34"/>
      <c r="E5" s="34"/>
      <c r="F5" s="34"/>
      <c r="G5" s="34"/>
      <c r="H5" s="34"/>
      <c r="I5" s="34"/>
      <c r="J5" s="34"/>
      <c r="K5" s="34"/>
      <c r="L5" s="101"/>
      <c r="M5" s="48"/>
      <c r="N5" s="34"/>
      <c r="O5" s="34"/>
      <c r="P5" s="34"/>
      <c r="Q5" s="34"/>
    </row>
    <row r="6" spans="1:17" s="13" customFormat="1" ht="12.75">
      <c r="A6" s="47">
        <v>1</v>
      </c>
      <c r="B6" s="12" t="s">
        <v>13</v>
      </c>
      <c r="C6" s="37">
        <f>C7+C8</f>
        <v>129927056</v>
      </c>
      <c r="D6" s="37">
        <f aca="true" t="shared" si="0" ref="D6:O6">D7+D8</f>
        <v>138078883</v>
      </c>
      <c r="E6" s="37">
        <f t="shared" si="0"/>
        <v>152387846</v>
      </c>
      <c r="F6" s="37">
        <f t="shared" si="0"/>
        <v>153154251</v>
      </c>
      <c r="G6" s="37">
        <f t="shared" si="0"/>
        <v>178538596</v>
      </c>
      <c r="H6" s="37">
        <f t="shared" si="0"/>
        <v>138812109</v>
      </c>
      <c r="I6" s="37">
        <f t="shared" si="0"/>
        <v>143895570</v>
      </c>
      <c r="J6" s="37">
        <f t="shared" si="0"/>
        <v>149611393</v>
      </c>
      <c r="K6" s="37">
        <f t="shared" si="0"/>
        <v>153664180.36200002</v>
      </c>
      <c r="L6" s="37">
        <f t="shared" si="0"/>
        <v>158888762.49430802</v>
      </c>
      <c r="M6" s="37">
        <f t="shared" si="0"/>
        <v>164290980.4191145</v>
      </c>
      <c r="N6" s="37">
        <f t="shared" si="0"/>
        <v>169876873.75336438</v>
      </c>
      <c r="O6" s="37">
        <f t="shared" si="0"/>
        <v>175652687.46097878</v>
      </c>
      <c r="P6" s="37">
        <f>P7+P8</f>
        <v>181624878.83465207</v>
      </c>
      <c r="Q6" s="37">
        <f>Q7+Q8</f>
        <v>187073625.19969162</v>
      </c>
    </row>
    <row r="7" spans="1:17" ht="12.75">
      <c r="A7" s="2" t="s">
        <v>34</v>
      </c>
      <c r="B7" s="1" t="s">
        <v>14</v>
      </c>
      <c r="C7" s="38">
        <v>124203715</v>
      </c>
      <c r="D7" s="38">
        <v>122702875</v>
      </c>
      <c r="E7" s="38">
        <v>123286909</v>
      </c>
      <c r="F7" s="38">
        <v>124092292</v>
      </c>
      <c r="G7" s="38">
        <f>128103324+25000+120000+55085+641752+112533+88376+25000+507633+59259</f>
        <v>129737962</v>
      </c>
      <c r="H7" s="37">
        <f>135812109</f>
        <v>135812109</v>
      </c>
      <c r="I7" s="38">
        <v>142895570</v>
      </c>
      <c r="J7" s="38">
        <v>148611393</v>
      </c>
      <c r="K7" s="38">
        <f aca="true" t="shared" si="1" ref="K7:P7">J7*1.034</f>
        <v>153664180.36200002</v>
      </c>
      <c r="L7" s="38">
        <f>K7*1.034</f>
        <v>158888762.49430802</v>
      </c>
      <c r="M7" s="9">
        <f t="shared" si="1"/>
        <v>164290980.4191145</v>
      </c>
      <c r="N7" s="38">
        <f t="shared" si="1"/>
        <v>169876873.75336438</v>
      </c>
      <c r="O7" s="38">
        <f t="shared" si="1"/>
        <v>175652687.46097878</v>
      </c>
      <c r="P7" s="38">
        <f t="shared" si="1"/>
        <v>181624878.83465207</v>
      </c>
      <c r="Q7" s="38">
        <f>P7*1.03</f>
        <v>187073625.19969162</v>
      </c>
    </row>
    <row r="8" spans="1:17" ht="12.75">
      <c r="A8" s="2" t="s">
        <v>35</v>
      </c>
      <c r="B8" s="1" t="s">
        <v>15</v>
      </c>
      <c r="C8" s="38">
        <v>5723341</v>
      </c>
      <c r="D8" s="38">
        <v>15376008</v>
      </c>
      <c r="E8" s="38">
        <v>29100937</v>
      </c>
      <c r="F8" s="38">
        <v>29061959</v>
      </c>
      <c r="G8" s="38">
        <f>56897097-9247723+883665+60000+130000+45000+32595</f>
        <v>48800634</v>
      </c>
      <c r="H8" s="39">
        <v>3000000</v>
      </c>
      <c r="I8" s="39">
        <v>1000000</v>
      </c>
      <c r="J8" s="38">
        <v>1000000</v>
      </c>
      <c r="K8" s="38"/>
      <c r="L8" s="38"/>
      <c r="M8" s="38"/>
      <c r="N8" s="38"/>
      <c r="O8" s="38"/>
      <c r="P8" s="38"/>
      <c r="Q8" s="38"/>
    </row>
    <row r="9" spans="1:17" ht="12.75">
      <c r="A9" s="2" t="s">
        <v>36</v>
      </c>
      <c r="B9" s="1" t="s">
        <v>16</v>
      </c>
      <c r="C9" s="38">
        <v>644322</v>
      </c>
      <c r="D9" s="38">
        <v>1327622</v>
      </c>
      <c r="E9" s="38">
        <v>7398855</v>
      </c>
      <c r="F9" s="38">
        <f>E9</f>
        <v>7398855</v>
      </c>
      <c r="G9" s="38">
        <f>4741135-246000</f>
        <v>4495135</v>
      </c>
      <c r="H9" s="38">
        <v>3000000</v>
      </c>
      <c r="I9" s="38">
        <v>1000000</v>
      </c>
      <c r="J9" s="38">
        <v>1000000</v>
      </c>
      <c r="K9" s="38"/>
      <c r="L9" s="38"/>
      <c r="M9" s="38"/>
      <c r="N9" s="38"/>
      <c r="O9" s="38"/>
      <c r="P9" s="38"/>
      <c r="Q9" s="38"/>
    </row>
    <row r="10" spans="1:17" s="13" customFormat="1" ht="51">
      <c r="A10" s="47">
        <v>2</v>
      </c>
      <c r="B10" s="12" t="s">
        <v>68</v>
      </c>
      <c r="C10" s="37">
        <f>104122000-1</f>
        <v>104121999</v>
      </c>
      <c r="D10" s="37">
        <f>115390087-1</f>
        <v>115390086</v>
      </c>
      <c r="E10" s="37">
        <v>128216963</v>
      </c>
      <c r="F10" s="37">
        <v>128497729</v>
      </c>
      <c r="G10" s="37">
        <f>123957627+79316+802434+27000+500000+1000000+500000+400000+120000-460000+716686+55085+13530-26500+48652+88376+25000+507633+89+59259</f>
        <v>128414187</v>
      </c>
      <c r="H10" s="37">
        <v>130099536</v>
      </c>
      <c r="I10" s="37">
        <f>H10*1.025+1</f>
        <v>133352025.39999999</v>
      </c>
      <c r="J10" s="37">
        <f aca="true" t="shared" si="2" ref="J10:Q10">I10*1.025</f>
        <v>136685826.03499997</v>
      </c>
      <c r="K10" s="105">
        <f>J10*1.025-0.69</f>
        <v>140102970.99587494</v>
      </c>
      <c r="L10" s="37">
        <f>K10*1.025</f>
        <v>143605545.2707718</v>
      </c>
      <c r="M10" s="104">
        <f t="shared" si="2"/>
        <v>147195683.90254107</v>
      </c>
      <c r="N10" s="37">
        <f t="shared" si="2"/>
        <v>150875576.00010458</v>
      </c>
      <c r="O10" s="37">
        <f t="shared" si="2"/>
        <v>154647465.40010718</v>
      </c>
      <c r="P10" s="37">
        <f t="shared" si="2"/>
        <v>158513652.03510985</v>
      </c>
      <c r="Q10" s="37">
        <f t="shared" si="2"/>
        <v>162476493.33598757</v>
      </c>
    </row>
    <row r="11" spans="1:17" ht="25.5">
      <c r="A11" s="2" t="s">
        <v>37</v>
      </c>
      <c r="B11" s="1" t="s">
        <v>69</v>
      </c>
      <c r="C11" s="39">
        <v>56403262</v>
      </c>
      <c r="D11" s="39">
        <v>62155974</v>
      </c>
      <c r="E11" s="38">
        <v>65696450</v>
      </c>
      <c r="F11" s="38">
        <f>E11</f>
        <v>65696450</v>
      </c>
      <c r="G11" s="38">
        <f>66392011+51060</f>
        <v>66443071</v>
      </c>
      <c r="H11" s="38">
        <v>68436363</v>
      </c>
      <c r="I11" s="38">
        <f aca="true" t="shared" si="3" ref="I11:Q11">+H11*1.03</f>
        <v>70489453.89</v>
      </c>
      <c r="J11" s="38">
        <f t="shared" si="3"/>
        <v>72604137.50670001</v>
      </c>
      <c r="K11" s="38">
        <f t="shared" si="3"/>
        <v>74782261.63190101</v>
      </c>
      <c r="L11" s="38">
        <f t="shared" si="3"/>
        <v>77025729.48085804</v>
      </c>
      <c r="M11" s="38">
        <f t="shared" si="3"/>
        <v>79336501.36528379</v>
      </c>
      <c r="N11" s="38">
        <f t="shared" si="3"/>
        <v>81716596.4062423</v>
      </c>
      <c r="O11" s="38">
        <f t="shared" si="3"/>
        <v>84168094.29842956</v>
      </c>
      <c r="P11" s="38">
        <f t="shared" si="3"/>
        <v>86693137.12738246</v>
      </c>
      <c r="Q11" s="38">
        <f t="shared" si="3"/>
        <v>89293931.24120393</v>
      </c>
    </row>
    <row r="12" spans="1:17" ht="12.75">
      <c r="A12" s="2" t="s">
        <v>38</v>
      </c>
      <c r="B12" s="1" t="s">
        <v>49</v>
      </c>
      <c r="C12" s="39">
        <v>8569307</v>
      </c>
      <c r="D12" s="39">
        <v>8593601</v>
      </c>
      <c r="E12" s="38">
        <v>9898241</v>
      </c>
      <c r="F12" s="38">
        <f>E12</f>
        <v>9898241</v>
      </c>
      <c r="G12" s="38">
        <f>9272367+122466</f>
        <v>9394833</v>
      </c>
      <c r="H12" s="38">
        <v>9629704</v>
      </c>
      <c r="I12" s="38">
        <f>+H12*1.025-1</f>
        <v>9870445.6</v>
      </c>
      <c r="J12" s="38">
        <f aca="true" t="shared" si="4" ref="J12:Q12">+I12*1.025</f>
        <v>10117206.739999998</v>
      </c>
      <c r="K12" s="38">
        <f t="shared" si="4"/>
        <v>10370136.908499997</v>
      </c>
      <c r="L12" s="38">
        <f t="shared" si="4"/>
        <v>10629390.331212496</v>
      </c>
      <c r="M12" s="38">
        <f t="shared" si="4"/>
        <v>10895125.089492807</v>
      </c>
      <c r="N12" s="38">
        <f t="shared" si="4"/>
        <v>11167503.216730127</v>
      </c>
      <c r="O12" s="38">
        <f t="shared" si="4"/>
        <v>11446690.797148379</v>
      </c>
      <c r="P12" s="38">
        <f t="shared" si="4"/>
        <v>11732858.067077087</v>
      </c>
      <c r="Q12" s="38">
        <f t="shared" si="4"/>
        <v>12026179.518754013</v>
      </c>
    </row>
    <row r="13" spans="1:17" ht="12.75">
      <c r="A13" s="2" t="s">
        <v>39</v>
      </c>
      <c r="B13" s="1" t="s">
        <v>17</v>
      </c>
      <c r="C13" s="38">
        <v>0</v>
      </c>
      <c r="D13" s="38">
        <v>0</v>
      </c>
      <c r="E13" s="38">
        <v>463372</v>
      </c>
      <c r="F13" s="38">
        <f>E13</f>
        <v>463372</v>
      </c>
      <c r="G13" s="38">
        <v>417759</v>
      </c>
      <c r="H13" s="38">
        <v>666400</v>
      </c>
      <c r="I13" s="38">
        <v>658499</v>
      </c>
      <c r="J13" s="38">
        <v>650598</v>
      </c>
      <c r="K13" s="38">
        <v>541396</v>
      </c>
      <c r="L13" s="38">
        <v>636112</v>
      </c>
      <c r="M13" s="38">
        <v>628211</v>
      </c>
      <c r="N13" s="38">
        <v>620310</v>
      </c>
      <c r="O13" s="38">
        <v>358955</v>
      </c>
      <c r="P13" s="38">
        <v>0</v>
      </c>
      <c r="Q13" s="38">
        <v>0</v>
      </c>
    </row>
    <row r="14" spans="1:17" ht="38.25">
      <c r="A14" s="2" t="s">
        <v>40</v>
      </c>
      <c r="B14" s="1" t="s">
        <v>75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/>
    </row>
    <row r="15" spans="1:17" ht="25.5">
      <c r="A15" s="2" t="s">
        <v>41</v>
      </c>
      <c r="B15" s="45" t="s">
        <v>70</v>
      </c>
      <c r="C15" s="38">
        <v>0</v>
      </c>
      <c r="D15" s="38">
        <v>0</v>
      </c>
      <c r="E15" s="38">
        <v>0</v>
      </c>
      <c r="F15" s="38">
        <v>0</v>
      </c>
      <c r="G15" s="39">
        <f>4053942+65138+126000+400000+76900</f>
        <v>4721980</v>
      </c>
      <c r="H15" s="39">
        <f>2222892+35539+480200+400000+18200</f>
        <v>3156831</v>
      </c>
      <c r="I15" s="39">
        <f>1595999+15548+168000</f>
        <v>1779547</v>
      </c>
      <c r="J15" s="39">
        <f>650598+168000</f>
        <v>818598</v>
      </c>
      <c r="K15" s="39">
        <f>541396+42000</f>
        <v>583396</v>
      </c>
      <c r="L15" s="39">
        <v>636112</v>
      </c>
      <c r="M15" s="39">
        <v>628211</v>
      </c>
      <c r="N15" s="39">
        <v>620310</v>
      </c>
      <c r="O15" s="39">
        <v>358955</v>
      </c>
      <c r="P15" s="39">
        <v>0</v>
      </c>
      <c r="Q15" s="39">
        <v>0</v>
      </c>
    </row>
    <row r="16" spans="1:17" ht="12.75">
      <c r="A16" s="2">
        <v>3</v>
      </c>
      <c r="B16" s="1" t="s">
        <v>18</v>
      </c>
      <c r="C16" s="38">
        <f>C6-C10</f>
        <v>25805057</v>
      </c>
      <c r="D16" s="38">
        <f aca="true" t="shared" si="5" ref="D16:N16">D6-D10</f>
        <v>22688797</v>
      </c>
      <c r="E16" s="38">
        <f>E6-E10</f>
        <v>24170883</v>
      </c>
      <c r="F16" s="38">
        <f t="shared" si="5"/>
        <v>24656522</v>
      </c>
      <c r="G16" s="38">
        <f t="shared" si="5"/>
        <v>50124409</v>
      </c>
      <c r="H16" s="38">
        <f t="shared" si="5"/>
        <v>8712573</v>
      </c>
      <c r="I16" s="38">
        <f t="shared" si="5"/>
        <v>10543544.600000009</v>
      </c>
      <c r="J16" s="38">
        <f t="shared" si="5"/>
        <v>12925566.965000033</v>
      </c>
      <c r="K16" s="38">
        <f t="shared" si="5"/>
        <v>13561209.366125077</v>
      </c>
      <c r="L16" s="38">
        <f t="shared" si="5"/>
        <v>15283217.223536223</v>
      </c>
      <c r="M16" s="38">
        <f t="shared" si="5"/>
        <v>17095296.51657343</v>
      </c>
      <c r="N16" s="38">
        <f t="shared" si="5"/>
        <v>19001297.753259808</v>
      </c>
      <c r="O16" s="38">
        <f>O6-O10</f>
        <v>21005222.0608716</v>
      </c>
      <c r="P16" s="38">
        <f>P6-P10</f>
        <v>23111226.79954222</v>
      </c>
      <c r="Q16" s="38">
        <f>Q6-Q10</f>
        <v>24597131.863704056</v>
      </c>
    </row>
    <row r="17" spans="1:17" ht="38.25">
      <c r="A17" s="46">
        <v>4</v>
      </c>
      <c r="B17" s="1" t="s">
        <v>139</v>
      </c>
      <c r="C17" s="39">
        <v>0</v>
      </c>
      <c r="D17" s="39">
        <v>4152945</v>
      </c>
      <c r="E17" s="39">
        <v>1755236</v>
      </c>
      <c r="F17" s="39">
        <f>E17</f>
        <v>1755236</v>
      </c>
      <c r="G17" s="99">
        <f>527727-25804+27000+80000+74934</f>
        <v>683857</v>
      </c>
      <c r="H17" s="39">
        <v>0</v>
      </c>
      <c r="I17" s="39">
        <f aca="true" t="shared" si="6" ref="I17:Q17">H29</f>
        <v>0</v>
      </c>
      <c r="J17" s="39">
        <f t="shared" si="6"/>
        <v>-0.3999999910593033</v>
      </c>
      <c r="K17" s="39">
        <f t="shared" si="6"/>
        <v>-0.4349999576807022</v>
      </c>
      <c r="L17" s="39">
        <f t="shared" si="6"/>
        <v>-0.06887488067150116</v>
      </c>
      <c r="M17" s="39">
        <f t="shared" si="6"/>
        <v>0.15466134250164032</v>
      </c>
      <c r="N17" s="39">
        <f t="shared" si="6"/>
        <v>-0.32876522839069366</v>
      </c>
      <c r="O17" s="39">
        <f t="shared" si="6"/>
        <v>0.42449457943439484</v>
      </c>
      <c r="P17" s="39">
        <f t="shared" si="6"/>
        <v>0.48536618053913116</v>
      </c>
      <c r="Q17" s="39">
        <f t="shared" si="6"/>
        <v>0.28490839898586273</v>
      </c>
    </row>
    <row r="18" spans="1:17" ht="51">
      <c r="A18" s="46" t="s">
        <v>42</v>
      </c>
      <c r="B18" s="1" t="s">
        <v>140</v>
      </c>
      <c r="C18" s="39">
        <v>0</v>
      </c>
      <c r="D18" s="39">
        <v>4152945</v>
      </c>
      <c r="E18" s="39">
        <v>1755236</v>
      </c>
      <c r="F18" s="39">
        <f>E18</f>
        <v>1755236</v>
      </c>
      <c r="G18" s="39">
        <f>527727-25804+27000+80000+74934</f>
        <v>683857</v>
      </c>
      <c r="H18" s="39">
        <v>0</v>
      </c>
      <c r="I18" s="39"/>
      <c r="J18" s="39"/>
      <c r="K18" s="39"/>
      <c r="L18" s="39"/>
      <c r="M18" s="39"/>
      <c r="N18" s="39"/>
      <c r="O18" s="39"/>
      <c r="P18" s="39"/>
      <c r="Q18" s="39"/>
    </row>
    <row r="19" spans="1:17" ht="25.5">
      <c r="A19" s="46">
        <v>5</v>
      </c>
      <c r="B19" s="1" t="s">
        <v>19</v>
      </c>
      <c r="C19" s="39">
        <v>0</v>
      </c>
      <c r="D19" s="39">
        <v>2100000</v>
      </c>
      <c r="E19" s="39">
        <v>3900000</v>
      </c>
      <c r="F19" s="39">
        <f>E19</f>
        <v>3900000</v>
      </c>
      <c r="G19" s="39">
        <v>1880000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/>
    </row>
    <row r="20" spans="1:17" ht="12.75">
      <c r="A20" s="2">
        <v>6</v>
      </c>
      <c r="B20" s="1" t="s">
        <v>20</v>
      </c>
      <c r="C20" s="38">
        <f>C16+C17+C19</f>
        <v>25805057</v>
      </c>
      <c r="D20" s="38">
        <f aca="true" t="shared" si="7" ref="D20:N20">D16+D17+D19</f>
        <v>28941742</v>
      </c>
      <c r="E20" s="38">
        <f t="shared" si="7"/>
        <v>29826119</v>
      </c>
      <c r="F20" s="38">
        <f t="shared" si="7"/>
        <v>30311758</v>
      </c>
      <c r="G20" s="38">
        <f t="shared" si="7"/>
        <v>52688266</v>
      </c>
      <c r="H20" s="38">
        <f t="shared" si="7"/>
        <v>8712573</v>
      </c>
      <c r="I20" s="38">
        <f t="shared" si="7"/>
        <v>10543544.600000009</v>
      </c>
      <c r="J20" s="38">
        <f t="shared" si="7"/>
        <v>12925566.565000042</v>
      </c>
      <c r="K20" s="38">
        <f>K16+K17+K19</f>
        <v>13561208.93112512</v>
      </c>
      <c r="L20" s="38">
        <f t="shared" si="7"/>
        <v>15283217.154661343</v>
      </c>
      <c r="M20" s="38">
        <f t="shared" si="7"/>
        <v>17095296.67123477</v>
      </c>
      <c r="N20" s="38">
        <f t="shared" si="7"/>
        <v>19001297.42449458</v>
      </c>
      <c r="O20" s="38">
        <f>O16+O17+O19</f>
        <v>21005222.48536618</v>
      </c>
      <c r="P20" s="38">
        <f>P16+P17+P19</f>
        <v>23111227.2849084</v>
      </c>
      <c r="Q20" s="38">
        <f>Q16+Q17+Q19</f>
        <v>24597132.148612455</v>
      </c>
    </row>
    <row r="21" spans="1:17" s="13" customFormat="1" ht="12.75">
      <c r="A21" s="11">
        <v>7</v>
      </c>
      <c r="B21" s="12" t="s">
        <v>21</v>
      </c>
      <c r="C21" s="37">
        <f>SUM(C22:C23)</f>
        <v>4175906</v>
      </c>
      <c r="D21" s="37">
        <f aca="true" t="shared" si="8" ref="D21:N21">SUM(D22:D23)</f>
        <v>3855630</v>
      </c>
      <c r="E21" s="37">
        <f t="shared" si="8"/>
        <v>4839708</v>
      </c>
      <c r="F21" s="37">
        <f t="shared" si="8"/>
        <v>5019694</v>
      </c>
      <c r="G21" s="37">
        <f t="shared" si="8"/>
        <v>25254732</v>
      </c>
      <c r="H21" s="37">
        <f t="shared" si="8"/>
        <v>6924423</v>
      </c>
      <c r="I21" s="37">
        <f t="shared" si="8"/>
        <v>5837956</v>
      </c>
      <c r="J21" s="37">
        <f t="shared" si="8"/>
        <v>4672687</v>
      </c>
      <c r="K21" s="37">
        <f t="shared" si="8"/>
        <v>6362481</v>
      </c>
      <c r="L21" s="37">
        <f t="shared" si="8"/>
        <v>7107834</v>
      </c>
      <c r="M21" s="37">
        <f t="shared" si="8"/>
        <v>3796987</v>
      </c>
      <c r="N21" s="37">
        <f t="shared" si="8"/>
        <v>3489330</v>
      </c>
      <c r="O21" s="37">
        <f>SUM(O22:O23)</f>
        <v>3049850</v>
      </c>
      <c r="P21" s="37">
        <f>SUM(P22:P23)</f>
        <v>1915161</v>
      </c>
      <c r="Q21" s="37">
        <f>SUM(Q22:Q23)</f>
        <v>1114258</v>
      </c>
    </row>
    <row r="22" spans="1:17" s="31" customFormat="1" ht="38.25">
      <c r="A22" s="30" t="s">
        <v>43</v>
      </c>
      <c r="B22" s="27" t="s">
        <v>22</v>
      </c>
      <c r="C22" s="40">
        <v>3256004</v>
      </c>
      <c r="D22" s="40">
        <v>3238649</v>
      </c>
      <c r="E22" s="40">
        <f>3808043</f>
        <v>3808043</v>
      </c>
      <c r="F22" s="40">
        <f>3988029</f>
        <v>3988029</v>
      </c>
      <c r="G22" s="40">
        <f>28673022-5321000-25804</f>
        <v>23326218</v>
      </c>
      <c r="H22" s="40">
        <f>4245262+1159490+50000-219426+50000+50000+6750+6751</f>
        <v>5348827</v>
      </c>
      <c r="I22" s="40">
        <f>3415543+1159490+50000-219426+50000+50000</f>
        <v>4505607</v>
      </c>
      <c r="J22" s="40">
        <f>2418331+1159490+50000-219426+50000+50000</f>
        <v>3508395</v>
      </c>
      <c r="K22" s="40">
        <f>2253331+1159490+50000-219426+50000+50000+2000000</f>
        <v>5343395</v>
      </c>
      <c r="L22" s="40">
        <f>2253331+1159490+50000-219426+50000+50000+3000000</f>
        <v>6343395</v>
      </c>
      <c r="M22" s="40">
        <f>2253329+1159490+50000-219426+50000+50000</f>
        <v>3343393</v>
      </c>
      <c r="N22" s="40">
        <f>2085399+1159490+50000-219426+50000+50000</f>
        <v>3175463</v>
      </c>
      <c r="O22" s="40">
        <f>2934418+50000-219426+50000+50000</f>
        <v>2864992</v>
      </c>
      <c r="P22" s="40">
        <f>712868+1159490+50000-193613+50000+50000</f>
        <v>1828745</v>
      </c>
      <c r="Q22" s="40">
        <f>1159491+50000-219428+50000+50000+6</f>
        <v>1090069</v>
      </c>
    </row>
    <row r="23" spans="1:17" s="31" customFormat="1" ht="12.75">
      <c r="A23" s="30" t="s">
        <v>44</v>
      </c>
      <c r="B23" s="27" t="s">
        <v>23</v>
      </c>
      <c r="C23" s="40">
        <v>919902</v>
      </c>
      <c r="D23" s="40">
        <v>616981</v>
      </c>
      <c r="E23" s="40">
        <v>1031665</v>
      </c>
      <c r="F23" s="40">
        <f>E23</f>
        <v>1031665</v>
      </c>
      <c r="G23" s="40">
        <v>1928514</v>
      </c>
      <c r="H23" s="40">
        <f>1294596+281000</f>
        <v>1575596</v>
      </c>
      <c r="I23" s="40">
        <f>1051349+281000</f>
        <v>1332349</v>
      </c>
      <c r="J23" s="40">
        <f>883292+281000</f>
        <v>1164292</v>
      </c>
      <c r="K23" s="40">
        <f>738086+281000</f>
        <v>1019086</v>
      </c>
      <c r="L23" s="40">
        <f>595839+168600</f>
        <v>764439</v>
      </c>
      <c r="M23" s="40">
        <v>453594</v>
      </c>
      <c r="N23" s="40">
        <v>313867</v>
      </c>
      <c r="O23" s="40">
        <v>184858</v>
      </c>
      <c r="P23" s="40">
        <v>86416</v>
      </c>
      <c r="Q23" s="40">
        <v>24189</v>
      </c>
    </row>
    <row r="24" spans="1:17" ht="25.5">
      <c r="A24" s="2">
        <v>8</v>
      </c>
      <c r="B24" s="1" t="s">
        <v>24</v>
      </c>
      <c r="C24" s="38">
        <v>634705</v>
      </c>
      <c r="D24" s="38">
        <v>2100000</v>
      </c>
      <c r="E24" s="38">
        <v>3900000</v>
      </c>
      <c r="F24" s="38">
        <f>E24</f>
        <v>3900000</v>
      </c>
      <c r="G24" s="38">
        <v>80000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/>
    </row>
    <row r="25" spans="1:17" ht="12.75">
      <c r="A25" s="2">
        <v>9</v>
      </c>
      <c r="B25" s="1" t="s">
        <v>25</v>
      </c>
      <c r="C25" s="38">
        <f>C20-C21-C24</f>
        <v>20994446</v>
      </c>
      <c r="D25" s="38">
        <f aca="true" t="shared" si="9" ref="D25:N25">D20-D21-D24</f>
        <v>22986112</v>
      </c>
      <c r="E25" s="38">
        <f t="shared" si="9"/>
        <v>21086411</v>
      </c>
      <c r="F25" s="38">
        <f t="shared" si="9"/>
        <v>21392064</v>
      </c>
      <c r="G25" s="38">
        <f t="shared" si="9"/>
        <v>27353534</v>
      </c>
      <c r="H25" s="38">
        <f t="shared" si="9"/>
        <v>1788150</v>
      </c>
      <c r="I25" s="38">
        <f t="shared" si="9"/>
        <v>4705588.600000009</v>
      </c>
      <c r="J25" s="38">
        <f t="shared" si="9"/>
        <v>8252879.565000042</v>
      </c>
      <c r="K25" s="38">
        <f t="shared" si="9"/>
        <v>7198727.931125119</v>
      </c>
      <c r="L25" s="38">
        <f t="shared" si="9"/>
        <v>8175383.1546613425</v>
      </c>
      <c r="M25" s="38">
        <f t="shared" si="9"/>
        <v>13298309.671234772</v>
      </c>
      <c r="N25" s="38">
        <f t="shared" si="9"/>
        <v>15511967.42449458</v>
      </c>
      <c r="O25" s="38">
        <f>O20-O21-O24</f>
        <v>17955372.48536618</v>
      </c>
      <c r="P25" s="38">
        <f>P20-P21-P24</f>
        <v>21196066.2849084</v>
      </c>
      <c r="Q25" s="38">
        <f>Q20-Q21-Q24</f>
        <v>23482874.148612455</v>
      </c>
    </row>
    <row r="26" spans="1:17" s="13" customFormat="1" ht="12.75">
      <c r="A26" s="47">
        <v>10</v>
      </c>
      <c r="B26" s="12" t="s">
        <v>26</v>
      </c>
      <c r="C26" s="37">
        <f>C27</f>
        <v>16841501</v>
      </c>
      <c r="D26" s="37">
        <f>D27</f>
        <v>28295151</v>
      </c>
      <c r="E26" s="37">
        <v>63321172</v>
      </c>
      <c r="F26" s="37">
        <v>58117317</v>
      </c>
      <c r="G26" s="37">
        <f>42536159-4251430+829349-1000000+100000-420000+460000-13530+26500+60000+3881+130000+60000+97152+5000000-89-6056</f>
        <v>43611936</v>
      </c>
      <c r="H26" s="41">
        <f>22500+2060151-6750-6751-281000</f>
        <v>1788150</v>
      </c>
      <c r="I26" s="41">
        <f>4986589-281000</f>
        <v>4705589</v>
      </c>
      <c r="J26" s="37">
        <f>8533880-281000</f>
        <v>8252880</v>
      </c>
      <c r="K26" s="37">
        <f>9479727+1-2000000-281000</f>
        <v>7198728</v>
      </c>
      <c r="L26" s="37">
        <f>11343983-3000000-168600</f>
        <v>8175383</v>
      </c>
      <c r="M26" s="37">
        <f>13298309+1</f>
        <v>13298310</v>
      </c>
      <c r="N26" s="37">
        <v>15511967</v>
      </c>
      <c r="O26" s="37">
        <f>17955371+1</f>
        <v>17955372</v>
      </c>
      <c r="P26" s="37">
        <f>21196065+1</f>
        <v>21196066</v>
      </c>
      <c r="Q26" s="37">
        <f>23482879+1-6</f>
        <v>23482874</v>
      </c>
    </row>
    <row r="27" spans="1:17" ht="38.25">
      <c r="A27" s="2" t="s">
        <v>45</v>
      </c>
      <c r="B27" s="45" t="s">
        <v>118</v>
      </c>
      <c r="C27" s="38">
        <v>16841501</v>
      </c>
      <c r="D27" s="38">
        <v>28295151</v>
      </c>
      <c r="E27" s="38">
        <v>63321172</v>
      </c>
      <c r="F27" s="38">
        <v>58117317</v>
      </c>
      <c r="G27" s="39">
        <v>20423320</v>
      </c>
      <c r="H27" s="39">
        <v>22500</v>
      </c>
      <c r="I27" s="39">
        <v>0</v>
      </c>
      <c r="J27" s="39"/>
      <c r="K27" s="39"/>
      <c r="L27" s="39"/>
      <c r="M27" s="39"/>
      <c r="N27" s="39"/>
      <c r="O27" s="39"/>
      <c r="P27" s="39"/>
      <c r="Q27" s="39"/>
    </row>
    <row r="28" spans="1:17" s="13" customFormat="1" ht="25.5">
      <c r="A28" s="11">
        <v>11</v>
      </c>
      <c r="B28" s="12" t="s">
        <v>27</v>
      </c>
      <c r="C28" s="37">
        <v>0</v>
      </c>
      <c r="D28" s="37">
        <v>7064275</v>
      </c>
      <c r="E28" s="37">
        <f>42234761</f>
        <v>42234761</v>
      </c>
      <c r="F28" s="37">
        <v>36725253</v>
      </c>
      <c r="G28" s="37">
        <f>12094901-2850000+1000000+500000+500000+19557+5000000-6056</f>
        <v>16258402</v>
      </c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29" spans="1:17" ht="12.75">
      <c r="A29" s="2">
        <v>12</v>
      </c>
      <c r="B29" s="1" t="s">
        <v>28</v>
      </c>
      <c r="C29" s="38">
        <f>C25-C26+C28</f>
        <v>4152945</v>
      </c>
      <c r="D29" s="38">
        <f>D25-D26+D28</f>
        <v>1755236</v>
      </c>
      <c r="E29" s="38">
        <f aca="true" t="shared" si="10" ref="E29:N29">E25-E26+E28</f>
        <v>0</v>
      </c>
      <c r="F29" s="38">
        <f>F25-F26+F28</f>
        <v>0</v>
      </c>
      <c r="G29" s="114">
        <f t="shared" si="10"/>
        <v>0</v>
      </c>
      <c r="H29" s="38">
        <f t="shared" si="10"/>
        <v>0</v>
      </c>
      <c r="I29" s="39">
        <f t="shared" si="10"/>
        <v>-0.3999999910593033</v>
      </c>
      <c r="J29" s="39">
        <f t="shared" si="10"/>
        <v>-0.4349999576807022</v>
      </c>
      <c r="K29" s="38">
        <f t="shared" si="10"/>
        <v>-0.06887488067150116</v>
      </c>
      <c r="L29" s="38">
        <f t="shared" si="10"/>
        <v>0.15466134250164032</v>
      </c>
      <c r="M29" s="38">
        <f t="shared" si="10"/>
        <v>-0.32876522839069366</v>
      </c>
      <c r="N29" s="38">
        <f t="shared" si="10"/>
        <v>0.42449457943439484</v>
      </c>
      <c r="O29" s="38">
        <f>O25-O26+O28</f>
        <v>0.48536618053913116</v>
      </c>
      <c r="P29" s="38">
        <f>P25-P26+P28</f>
        <v>0.28490839898586273</v>
      </c>
      <c r="Q29" s="38">
        <f>Q25-Q26+Q28</f>
        <v>0.14861245453357697</v>
      </c>
    </row>
    <row r="30" spans="1:17" ht="23.25" customHeight="1">
      <c r="A30" s="89"/>
      <c r="B30" s="90"/>
      <c r="C30" s="91"/>
      <c r="D30" s="91"/>
      <c r="E30" s="91"/>
      <c r="F30" s="91"/>
      <c r="G30" s="91"/>
      <c r="H30" s="92"/>
      <c r="I30" s="92"/>
      <c r="J30" s="92"/>
      <c r="K30" s="91"/>
      <c r="L30" s="91"/>
      <c r="M30" s="91"/>
      <c r="N30" s="91"/>
      <c r="O30" s="91"/>
      <c r="P30" s="91"/>
      <c r="Q30" s="93"/>
    </row>
    <row r="31" spans="1:17" ht="23.25" customHeight="1">
      <c r="A31" s="121" t="s">
        <v>126</v>
      </c>
      <c r="B31" s="122"/>
      <c r="C31" s="38"/>
      <c r="D31" s="38"/>
      <c r="E31" s="38"/>
      <c r="F31" s="38"/>
      <c r="G31" s="38"/>
      <c r="H31" s="39"/>
      <c r="I31" s="39"/>
      <c r="J31" s="39"/>
      <c r="K31" s="38"/>
      <c r="L31" s="38"/>
      <c r="M31" s="38"/>
      <c r="N31" s="38"/>
      <c r="O31" s="38"/>
      <c r="P31" s="38"/>
      <c r="Q31" s="38"/>
    </row>
    <row r="32" spans="1:17" s="31" customFormat="1" ht="12.75">
      <c r="A32" s="30">
        <v>13</v>
      </c>
      <c r="B32" s="27" t="s">
        <v>145</v>
      </c>
      <c r="C32" s="40">
        <v>13522494</v>
      </c>
      <c r="D32" s="40">
        <f>+C32+D28-D22</f>
        <v>17348120</v>
      </c>
      <c r="E32" s="40">
        <f>+D32+E28-E22</f>
        <v>55774838</v>
      </c>
      <c r="F32" s="40">
        <f>+D32-F22+F28</f>
        <v>50085344</v>
      </c>
      <c r="G32" s="112">
        <f>44420097+G28-G22</f>
        <v>37352281</v>
      </c>
      <c r="H32" s="40">
        <f>+G32+H28-H22</f>
        <v>32003454</v>
      </c>
      <c r="I32" s="40">
        <f aca="true" t="shared" si="11" ref="I32:P32">+H32+I28-I22</f>
        <v>27497847</v>
      </c>
      <c r="J32" s="40">
        <f t="shared" si="11"/>
        <v>23989452</v>
      </c>
      <c r="K32" s="40">
        <f t="shared" si="11"/>
        <v>18646057</v>
      </c>
      <c r="L32" s="40">
        <f t="shared" si="11"/>
        <v>12302662</v>
      </c>
      <c r="M32" s="40">
        <f t="shared" si="11"/>
        <v>8959269</v>
      </c>
      <c r="N32" s="40">
        <f t="shared" si="11"/>
        <v>5783806</v>
      </c>
      <c r="O32" s="40">
        <f t="shared" si="11"/>
        <v>2918814</v>
      </c>
      <c r="P32" s="40">
        <f t="shared" si="11"/>
        <v>1090069</v>
      </c>
      <c r="Q32" s="40">
        <f>+P32+Q28-Q22</f>
        <v>0</v>
      </c>
    </row>
    <row r="33" spans="1:17" ht="27" customHeight="1">
      <c r="A33" s="2" t="s">
        <v>46</v>
      </c>
      <c r="B33" s="1" t="s">
        <v>121</v>
      </c>
      <c r="C33" s="38"/>
      <c r="D33" s="38"/>
      <c r="E33" s="38"/>
      <c r="F33" s="38"/>
      <c r="G33" s="39">
        <v>0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1:17" ht="38.25">
      <c r="A34" s="2" t="s">
        <v>47</v>
      </c>
      <c r="B34" s="1" t="s">
        <v>120</v>
      </c>
      <c r="C34" s="38"/>
      <c r="D34" s="38"/>
      <c r="E34" s="38"/>
      <c r="F34" s="38"/>
      <c r="G34" s="38">
        <v>0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24.75" customHeight="1">
      <c r="A35" s="2">
        <v>14</v>
      </c>
      <c r="B35" s="1" t="s">
        <v>29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/>
    </row>
    <row r="36" spans="1:17" ht="25.5">
      <c r="A36" s="2">
        <v>15</v>
      </c>
      <c r="B36" s="1" t="s">
        <v>123</v>
      </c>
      <c r="C36" s="50">
        <f>(C22+C23+C13-C33)/C6</f>
        <v>0.03214038806513095</v>
      </c>
      <c r="D36" s="50">
        <f>(D22+D23+D13-D33)/D6</f>
        <v>0.027923386373280554</v>
      </c>
      <c r="E36" s="50">
        <f>(E22+E23+E13-E33)/E6</f>
        <v>0.034799888174808905</v>
      </c>
      <c r="F36" s="50">
        <f>(F22+F23+F13-F33)/F6</f>
        <v>0.03580093901539827</v>
      </c>
      <c r="G36" s="50">
        <f>(G22+G23+G13-G33)/G6</f>
        <v>0.14379238761348834</v>
      </c>
      <c r="H36" s="50">
        <f aca="true" t="shared" si="12" ref="H36:Q36">(H22+H23+H13-H33)/H6</f>
        <v>0.0546841558325434</v>
      </c>
      <c r="I36" s="50">
        <f t="shared" si="12"/>
        <v>0.04514701182253213</v>
      </c>
      <c r="J36" s="50">
        <f t="shared" si="12"/>
        <v>0.03558074618020567</v>
      </c>
      <c r="K36" s="50">
        <f t="shared" si="12"/>
        <v>0.04492834298621799</v>
      </c>
      <c r="L36" s="50">
        <f t="shared" si="12"/>
        <v>0.048738160449058925</v>
      </c>
      <c r="M36" s="50">
        <f t="shared" si="12"/>
        <v>0.02693512442807937</v>
      </c>
      <c r="N36" s="50">
        <f t="shared" si="12"/>
        <v>0.02419187443940473</v>
      </c>
      <c r="O36" s="50">
        <f t="shared" si="12"/>
        <v>0.019406506380708042</v>
      </c>
      <c r="P36" s="50">
        <f t="shared" si="12"/>
        <v>0.01054459616043861</v>
      </c>
      <c r="Q36" s="50">
        <f t="shared" si="12"/>
        <v>0.005956253848240691</v>
      </c>
    </row>
    <row r="37" spans="1:17" s="32" customFormat="1" ht="38.25" hidden="1">
      <c r="A37" s="14"/>
      <c r="B37" s="10" t="s">
        <v>102</v>
      </c>
      <c r="C37" s="35">
        <f>+(C22+C23-C33+C13)/C6</f>
        <v>0.03214038806513095</v>
      </c>
      <c r="D37" s="35">
        <f>+(D22+D23-D33+D13)/D6</f>
        <v>0.027923386373280554</v>
      </c>
      <c r="E37" s="35">
        <f>+(E22+E23-E33+E13)/E6</f>
        <v>0.034799888174808905</v>
      </c>
      <c r="F37" s="35">
        <f>+(F22+F23-F33+F13)/F6</f>
        <v>0.03580093901539827</v>
      </c>
      <c r="G37" s="35">
        <f>+(G22+G23-G33+G13)/G6</f>
        <v>0.14379238761348834</v>
      </c>
      <c r="H37" s="35">
        <f aca="true" t="shared" si="13" ref="H37:Q37">+(H22+H23-H34)/H6</f>
        <v>0.049883421913862</v>
      </c>
      <c r="I37" s="35">
        <f t="shared" si="13"/>
        <v>0.040570783381309095</v>
      </c>
      <c r="J37" s="35">
        <f t="shared" si="13"/>
        <v>0.03123216024063087</v>
      </c>
      <c r="K37" s="35">
        <f t="shared" si="13"/>
        <v>0.041405101598898014</v>
      </c>
      <c r="L37" s="102">
        <f t="shared" si="13"/>
        <v>0.04473465516640693</v>
      </c>
      <c r="M37" s="35">
        <f t="shared" si="13"/>
        <v>0.023111353954512272</v>
      </c>
      <c r="N37" s="35">
        <f t="shared" si="13"/>
        <v>0.0205403473875201</v>
      </c>
      <c r="O37" s="35">
        <f t="shared" si="13"/>
        <v>0.017362956662291453</v>
      </c>
      <c r="P37" s="35">
        <f t="shared" si="13"/>
        <v>0.01054459616043861</v>
      </c>
      <c r="Q37" s="35">
        <f t="shared" si="13"/>
        <v>0.005956253848240691</v>
      </c>
    </row>
    <row r="38" spans="1:17" s="32" customFormat="1" ht="38.25" hidden="1">
      <c r="A38" s="14"/>
      <c r="B38" s="10" t="s">
        <v>81</v>
      </c>
      <c r="C38" s="35">
        <f>+(C7+C9-C46)/C6</f>
        <v>0.15244042780435202</v>
      </c>
      <c r="D38" s="35">
        <f>+(D7+D9-D46)/D6</f>
        <v>0.058107581881293176</v>
      </c>
      <c r="E38" s="35">
        <f>+(E7+E9-E46)/E6</f>
        <v>0.009430778357481344</v>
      </c>
      <c r="F38" s="35">
        <f>+(F7+F9-F46)/F6</f>
        <v>0.012809001298958395</v>
      </c>
      <c r="G38" s="35">
        <f>+(G7+G9-G46)/G6</f>
        <v>0.02179022400288171</v>
      </c>
      <c r="H38" s="35">
        <f aca="true" t="shared" si="14" ref="H38:Q38">+(H7+H9-H46)/H6</f>
        <v>0.05141465720400516</v>
      </c>
      <c r="I38" s="35">
        <f t="shared" si="14"/>
        <v>0.0640130589148785</v>
      </c>
      <c r="J38" s="35">
        <f t="shared" si="14"/>
        <v>0.07861216134121572</v>
      </c>
      <c r="K38" s="35">
        <f t="shared" si="14"/>
        <v>0.08162034468005823</v>
      </c>
      <c r="L38" s="102">
        <f t="shared" si="14"/>
        <v>0.09137699857191812</v>
      </c>
      <c r="M38" s="35">
        <f t="shared" si="14"/>
        <v>0.10129407271244967</v>
      </c>
      <c r="N38" s="35">
        <f t="shared" si="14"/>
        <v>0.1100057373341538</v>
      </c>
      <c r="O38" s="35">
        <f t="shared" si="14"/>
        <v>0.11853142904800043</v>
      </c>
      <c r="P38" s="35">
        <f t="shared" si="14"/>
        <v>0.12677123831974352</v>
      </c>
      <c r="Q38" s="35">
        <f t="shared" si="14"/>
        <v>0.13135439502748547</v>
      </c>
    </row>
    <row r="39" spans="1:17" ht="38.25">
      <c r="A39" s="2" t="s">
        <v>48</v>
      </c>
      <c r="B39" s="1" t="s">
        <v>103</v>
      </c>
      <c r="C39" s="49"/>
      <c r="D39" s="49"/>
      <c r="E39" s="49"/>
      <c r="F39" s="49">
        <f>+AVERAGE(B38:D38)</f>
        <v>0.1052740048428226</v>
      </c>
      <c r="G39" s="49">
        <f>+AVERAGE(C38:E38)</f>
        <v>0.07332626268104218</v>
      </c>
      <c r="H39" s="49">
        <f>+AVERAGE(D38,E38,G38)</f>
        <v>0.02977619474721874</v>
      </c>
      <c r="I39" s="49">
        <f>+AVERAGE(E38,G38,H38)</f>
        <v>0.027545219854789405</v>
      </c>
      <c r="J39" s="49">
        <f>+AVERAGE(G38,H38,I38)</f>
        <v>0.045739313373921786</v>
      </c>
      <c r="K39" s="49">
        <f aca="true" t="shared" si="15" ref="K39:Q39">+AVERAGE(H38:J38)</f>
        <v>0.06467995915336645</v>
      </c>
      <c r="L39" s="49">
        <f t="shared" si="15"/>
        <v>0.07474852164538415</v>
      </c>
      <c r="M39" s="49">
        <f t="shared" si="15"/>
        <v>0.08386983486439736</v>
      </c>
      <c r="N39" s="49">
        <f t="shared" si="15"/>
        <v>0.09143047198814201</v>
      </c>
      <c r="O39" s="49">
        <f t="shared" si="15"/>
        <v>0.1008922695395072</v>
      </c>
      <c r="P39" s="49">
        <f t="shared" si="15"/>
        <v>0.10994374636486796</v>
      </c>
      <c r="Q39" s="49">
        <f t="shared" si="15"/>
        <v>0.11843613490063258</v>
      </c>
    </row>
    <row r="40" spans="1:17" s="32" customFormat="1" ht="25.5" hidden="1">
      <c r="A40" s="14"/>
      <c r="B40" s="10" t="s">
        <v>104</v>
      </c>
      <c r="C40" s="35"/>
      <c r="D40" s="35"/>
      <c r="E40" s="35"/>
      <c r="F40" s="35"/>
      <c r="G40" s="35">
        <f>+AVERAGE(C38,D38,F38)</f>
        <v>0.07445233699486786</v>
      </c>
      <c r="H40" s="35">
        <f>+AVERAGE(D38,F38,G38)</f>
        <v>0.030902269061044426</v>
      </c>
      <c r="I40" s="35">
        <f>+AVERAGE(F38,G38,H38)</f>
        <v>0.02867129416861509</v>
      </c>
      <c r="J40" s="35">
        <f aca="true" t="shared" si="16" ref="J40:Q40">+AVERAGE(G38:I38)</f>
        <v>0.045739313373921786</v>
      </c>
      <c r="K40" s="35">
        <f t="shared" si="16"/>
        <v>0.06467995915336645</v>
      </c>
      <c r="L40" s="102">
        <f t="shared" si="16"/>
        <v>0.07474852164538415</v>
      </c>
      <c r="M40" s="35">
        <f t="shared" si="16"/>
        <v>0.08386983486439736</v>
      </c>
      <c r="N40" s="35">
        <f t="shared" si="16"/>
        <v>0.09143047198814201</v>
      </c>
      <c r="O40" s="35">
        <f t="shared" si="16"/>
        <v>0.1008922695395072</v>
      </c>
      <c r="P40" s="35">
        <f t="shared" si="16"/>
        <v>0.10994374636486796</v>
      </c>
      <c r="Q40" s="35">
        <f t="shared" si="16"/>
        <v>0.11843613490063258</v>
      </c>
    </row>
    <row r="41" spans="1:17" ht="25.5">
      <c r="A41" s="2">
        <v>16</v>
      </c>
      <c r="B41" s="1" t="s">
        <v>142</v>
      </c>
      <c r="C41" s="36" t="str">
        <f aca="true" t="shared" si="17" ref="C41:H41">IF(C36&lt;C39,"TAK","NIE")</f>
        <v>NIE</v>
      </c>
      <c r="D41" s="36" t="str">
        <f t="shared" si="17"/>
        <v>NIE</v>
      </c>
      <c r="E41" s="36" t="str">
        <f t="shared" si="17"/>
        <v>NIE</v>
      </c>
      <c r="F41" s="36" t="str">
        <f t="shared" si="17"/>
        <v>TAK</v>
      </c>
      <c r="G41" s="36" t="str">
        <f t="shared" si="17"/>
        <v>NIE</v>
      </c>
      <c r="H41" s="36" t="str">
        <f t="shared" si="17"/>
        <v>NIE</v>
      </c>
      <c r="I41" s="36" t="str">
        <f aca="true" t="shared" si="18" ref="I41:Q41">IF(I36&lt;I39,"TAK","NIE")</f>
        <v>NIE</v>
      </c>
      <c r="J41" s="36" t="str">
        <f t="shared" si="18"/>
        <v>TAK</v>
      </c>
      <c r="K41" s="36" t="str">
        <f t="shared" si="18"/>
        <v>TAK</v>
      </c>
      <c r="L41" s="103" t="str">
        <f t="shared" si="18"/>
        <v>TAK</v>
      </c>
      <c r="M41" s="36" t="str">
        <f t="shared" si="18"/>
        <v>TAK</v>
      </c>
      <c r="N41" s="36" t="str">
        <f t="shared" si="18"/>
        <v>TAK</v>
      </c>
      <c r="O41" s="36" t="str">
        <f t="shared" si="18"/>
        <v>TAK</v>
      </c>
      <c r="P41" s="36" t="str">
        <f t="shared" si="18"/>
        <v>TAK</v>
      </c>
      <c r="Q41" s="36" t="str">
        <f t="shared" si="18"/>
        <v>TAK</v>
      </c>
    </row>
    <row r="42" spans="1:17" ht="31.5" customHeight="1">
      <c r="A42" s="11">
        <v>17</v>
      </c>
      <c r="B42" s="12" t="s">
        <v>146</v>
      </c>
      <c r="C42" s="36"/>
      <c r="D42" s="36"/>
      <c r="E42" s="36"/>
      <c r="F42" s="36"/>
      <c r="G42" s="116">
        <v>18170000</v>
      </c>
      <c r="H42" s="117"/>
      <c r="I42" s="117"/>
      <c r="J42" s="117"/>
      <c r="K42" s="117"/>
      <c r="L42" s="118"/>
      <c r="M42" s="117"/>
      <c r="N42" s="117"/>
      <c r="O42" s="117"/>
      <c r="P42" s="117"/>
      <c r="Q42" s="117"/>
    </row>
    <row r="43" spans="1:17" ht="38.25">
      <c r="A43" s="2">
        <v>18</v>
      </c>
      <c r="B43" s="1" t="s">
        <v>144</v>
      </c>
      <c r="C43" s="50">
        <f>+C21/C6</f>
        <v>0.03214038806513095</v>
      </c>
      <c r="D43" s="50">
        <f>+D21/D6</f>
        <v>0.027923386373280554</v>
      </c>
      <c r="E43" s="50">
        <f>+E21/E6</f>
        <v>0.03175914698603982</v>
      </c>
      <c r="F43" s="50">
        <f>+F21/F6</f>
        <v>0.032775414115015326</v>
      </c>
      <c r="G43" s="50">
        <f>+(G21+G13-G42)/G6</f>
        <v>0.04202167580616575</v>
      </c>
      <c r="H43" s="50">
        <f aca="true" t="shared" si="19" ref="H43:Q43">+(H21+H13-H33)/H6</f>
        <v>0.0546841558325434</v>
      </c>
      <c r="I43" s="50">
        <f t="shared" si="19"/>
        <v>0.04514701182253213</v>
      </c>
      <c r="J43" s="50">
        <f t="shared" si="19"/>
        <v>0.03558074618020567</v>
      </c>
      <c r="K43" s="50">
        <f t="shared" si="19"/>
        <v>0.04492834298621799</v>
      </c>
      <c r="L43" s="50">
        <f t="shared" si="19"/>
        <v>0.048738160449058925</v>
      </c>
      <c r="M43" s="50">
        <f t="shared" si="19"/>
        <v>0.02693512442807937</v>
      </c>
      <c r="N43" s="50">
        <f t="shared" si="19"/>
        <v>0.02419187443940473</v>
      </c>
      <c r="O43" s="50">
        <f t="shared" si="19"/>
        <v>0.019406506380708042</v>
      </c>
      <c r="P43" s="50">
        <f t="shared" si="19"/>
        <v>0.01054459616043861</v>
      </c>
      <c r="Q43" s="50">
        <f t="shared" si="19"/>
        <v>0.005956253848240691</v>
      </c>
    </row>
    <row r="44" spans="1:17" ht="25.5" hidden="1">
      <c r="A44" s="2"/>
      <c r="B44" s="1" t="s">
        <v>80</v>
      </c>
      <c r="C44" s="49" t="str">
        <f>IF(C36&lt;15%,"TAK","NIE")</f>
        <v>TAK</v>
      </c>
      <c r="D44" s="49" t="str">
        <f aca="true" t="shared" si="20" ref="D44:Q44">IF(D36&lt;15%,"TAK","NIE")</f>
        <v>TAK</v>
      </c>
      <c r="E44" s="49" t="str">
        <f t="shared" si="20"/>
        <v>TAK</v>
      </c>
      <c r="F44" s="49" t="str">
        <f t="shared" si="20"/>
        <v>TAK</v>
      </c>
      <c r="G44" s="49" t="str">
        <f t="shared" si="20"/>
        <v>TAK</v>
      </c>
      <c r="H44" s="49" t="str">
        <f t="shared" si="20"/>
        <v>TAK</v>
      </c>
      <c r="I44" s="49" t="str">
        <f t="shared" si="20"/>
        <v>TAK</v>
      </c>
      <c r="J44" s="49" t="str">
        <f t="shared" si="20"/>
        <v>TAK</v>
      </c>
      <c r="K44" s="49" t="str">
        <f t="shared" si="20"/>
        <v>TAK</v>
      </c>
      <c r="L44" s="103" t="str">
        <f t="shared" si="20"/>
        <v>TAK</v>
      </c>
      <c r="M44" s="49" t="str">
        <f t="shared" si="20"/>
        <v>TAK</v>
      </c>
      <c r="N44" s="49" t="str">
        <f t="shared" si="20"/>
        <v>TAK</v>
      </c>
      <c r="O44" s="49" t="str">
        <f t="shared" si="20"/>
        <v>TAK</v>
      </c>
      <c r="P44" s="49" t="str">
        <f t="shared" si="20"/>
        <v>TAK</v>
      </c>
      <c r="Q44" s="49" t="str">
        <f t="shared" si="20"/>
        <v>TAK</v>
      </c>
    </row>
    <row r="45" spans="1:17" ht="25.5">
      <c r="A45" s="2">
        <v>19</v>
      </c>
      <c r="B45" s="1" t="s">
        <v>50</v>
      </c>
      <c r="C45" s="50">
        <f>+(C32-C33)/C6</f>
        <v>0.10407758334799798</v>
      </c>
      <c r="D45" s="50">
        <f aca="true" t="shared" si="21" ref="D45:N45">+(D32-D33)/D6</f>
        <v>0.1256391971247334</v>
      </c>
      <c r="E45" s="50">
        <f t="shared" si="21"/>
        <v>0.36600581650061514</v>
      </c>
      <c r="F45" s="50">
        <f t="shared" si="21"/>
        <v>0.3270254901380439</v>
      </c>
      <c r="G45" s="50">
        <f>+(G32-G33)/G6</f>
        <v>0.20921123968063465</v>
      </c>
      <c r="H45" s="50">
        <f t="shared" si="21"/>
        <v>0.23055232162779113</v>
      </c>
      <c r="I45" s="50">
        <f t="shared" si="21"/>
        <v>0.19109585513994629</v>
      </c>
      <c r="J45" s="50">
        <f t="shared" si="21"/>
        <v>0.160345088157825</v>
      </c>
      <c r="K45" s="50">
        <f t="shared" si="21"/>
        <v>0.12134289823479921</v>
      </c>
      <c r="L45" s="50">
        <f t="shared" si="21"/>
        <v>0.07742940285308551</v>
      </c>
      <c r="M45" s="50">
        <f t="shared" si="21"/>
        <v>0.05453293283139742</v>
      </c>
      <c r="N45" s="50">
        <f t="shared" si="21"/>
        <v>0.03404704755985335</v>
      </c>
      <c r="O45" s="50">
        <f>+(O32-O33)/O6</f>
        <v>0.01661696181362676</v>
      </c>
      <c r="P45" s="50">
        <f>+(P32-P33)/P6</f>
        <v>0.006001760370022758</v>
      </c>
      <c r="Q45" s="50">
        <f>+(Q32-Q33)/Q6</f>
        <v>0</v>
      </c>
    </row>
    <row r="46" spans="1:17" ht="12.75">
      <c r="A46" s="2">
        <v>20</v>
      </c>
      <c r="B46" s="1" t="s">
        <v>30</v>
      </c>
      <c r="C46" s="9">
        <f>C10+C23</f>
        <v>105041901</v>
      </c>
      <c r="D46" s="9">
        <f aca="true" t="shared" si="22" ref="D46:N46">D10+D23</f>
        <v>116007067</v>
      </c>
      <c r="E46" s="9">
        <f t="shared" si="22"/>
        <v>129248628</v>
      </c>
      <c r="F46" s="9">
        <f t="shared" si="22"/>
        <v>129529394</v>
      </c>
      <c r="G46" s="38">
        <f>G10+G23</f>
        <v>130342701</v>
      </c>
      <c r="H46" s="38">
        <f t="shared" si="22"/>
        <v>131675132</v>
      </c>
      <c r="I46" s="38">
        <f t="shared" si="22"/>
        <v>134684374.39999998</v>
      </c>
      <c r="J46" s="38">
        <f t="shared" si="22"/>
        <v>137850118.03499997</v>
      </c>
      <c r="K46" s="38">
        <f t="shared" si="22"/>
        <v>141122056.99587494</v>
      </c>
      <c r="L46" s="38">
        <f t="shared" si="22"/>
        <v>144369984.2707718</v>
      </c>
      <c r="M46" s="38">
        <f t="shared" si="22"/>
        <v>147649277.90254107</v>
      </c>
      <c r="N46" s="38">
        <f t="shared" si="22"/>
        <v>151189443.00010458</v>
      </c>
      <c r="O46" s="38">
        <f>O10+O23</f>
        <v>154832323.40010718</v>
      </c>
      <c r="P46" s="38">
        <f>P10+P23</f>
        <v>158600068.03510985</v>
      </c>
      <c r="Q46" s="38">
        <f>Q10+Q23</f>
        <v>162500682.33598757</v>
      </c>
    </row>
    <row r="47" spans="1:17" ht="12.75">
      <c r="A47" s="2">
        <v>21</v>
      </c>
      <c r="B47" s="1" t="s">
        <v>31</v>
      </c>
      <c r="C47" s="9">
        <f aca="true" t="shared" si="23" ref="C47:Q47">C26+C46</f>
        <v>121883402</v>
      </c>
      <c r="D47" s="9">
        <f t="shared" si="23"/>
        <v>144302218</v>
      </c>
      <c r="E47" s="9">
        <f t="shared" si="23"/>
        <v>192569800</v>
      </c>
      <c r="F47" s="9">
        <f t="shared" si="23"/>
        <v>187646711</v>
      </c>
      <c r="G47" s="38">
        <f>G26+G46</f>
        <v>173954637</v>
      </c>
      <c r="H47" s="38">
        <f t="shared" si="23"/>
        <v>133463282</v>
      </c>
      <c r="I47" s="38">
        <f t="shared" si="23"/>
        <v>139389963.39999998</v>
      </c>
      <c r="J47" s="38">
        <f t="shared" si="23"/>
        <v>146102998.03499997</v>
      </c>
      <c r="K47" s="38">
        <f t="shared" si="23"/>
        <v>148320784.99587494</v>
      </c>
      <c r="L47" s="38">
        <f t="shared" si="23"/>
        <v>152545367.2707718</v>
      </c>
      <c r="M47" s="38">
        <f t="shared" si="23"/>
        <v>160947587.90254107</v>
      </c>
      <c r="N47" s="38">
        <f t="shared" si="23"/>
        <v>166701410.00010458</v>
      </c>
      <c r="O47" s="38">
        <f t="shared" si="23"/>
        <v>172787695.40010718</v>
      </c>
      <c r="P47" s="38">
        <f t="shared" si="23"/>
        <v>179796134.03510985</v>
      </c>
      <c r="Q47" s="38">
        <f t="shared" si="23"/>
        <v>185983556.33598757</v>
      </c>
    </row>
    <row r="48" spans="1:17" ht="25.5">
      <c r="A48" s="2">
        <v>22</v>
      </c>
      <c r="B48" s="1" t="s">
        <v>137</v>
      </c>
      <c r="C48" s="9">
        <f aca="true" t="shared" si="24" ref="C48:Q48">C6-C47</f>
        <v>8043654</v>
      </c>
      <c r="D48" s="9">
        <f t="shared" si="24"/>
        <v>-6223335</v>
      </c>
      <c r="E48" s="9">
        <f t="shared" si="24"/>
        <v>-40181954</v>
      </c>
      <c r="F48" s="9">
        <f t="shared" si="24"/>
        <v>-34492460</v>
      </c>
      <c r="G48" s="38">
        <f>G6-G47</f>
        <v>4583959</v>
      </c>
      <c r="H48" s="38">
        <f t="shared" si="24"/>
        <v>5348827</v>
      </c>
      <c r="I48" s="38">
        <f t="shared" si="24"/>
        <v>4505606.600000024</v>
      </c>
      <c r="J48" s="38">
        <f t="shared" si="24"/>
        <v>3508394.9650000334</v>
      </c>
      <c r="K48" s="99">
        <f>K6-K47</f>
        <v>5343395.366125077</v>
      </c>
      <c r="L48" s="99">
        <f>L6-L47</f>
        <v>6343395.223536223</v>
      </c>
      <c r="M48" s="109">
        <f>M6-M47-1</f>
        <v>3343391.516573429</v>
      </c>
      <c r="N48" s="38">
        <f t="shared" si="24"/>
        <v>3175463.753259808</v>
      </c>
      <c r="O48" s="38">
        <f t="shared" si="24"/>
        <v>2864992.060871601</v>
      </c>
      <c r="P48" s="38">
        <f t="shared" si="24"/>
        <v>1828744.7995422184</v>
      </c>
      <c r="Q48" s="38">
        <f t="shared" si="24"/>
        <v>1090068.8637040555</v>
      </c>
    </row>
    <row r="49" spans="1:17" ht="12.75">
      <c r="A49" s="2">
        <v>23</v>
      </c>
      <c r="B49" s="1" t="s">
        <v>32</v>
      </c>
      <c r="C49" s="9">
        <f>C17+C19+C28</f>
        <v>0</v>
      </c>
      <c r="D49" s="9">
        <f aca="true" t="shared" si="25" ref="D49:N49">D17+D19+D28</f>
        <v>13317220</v>
      </c>
      <c r="E49" s="9">
        <f t="shared" si="25"/>
        <v>47889997</v>
      </c>
      <c r="F49" s="9">
        <f t="shared" si="25"/>
        <v>42380489</v>
      </c>
      <c r="G49" s="38">
        <f>G17+G19+G28</f>
        <v>18822259</v>
      </c>
      <c r="H49" s="38">
        <f>H17+H19+H28</f>
        <v>0</v>
      </c>
      <c r="I49" s="38">
        <f t="shared" si="25"/>
        <v>0</v>
      </c>
      <c r="J49" s="38">
        <f t="shared" si="25"/>
        <v>-0.3999999910593033</v>
      </c>
      <c r="K49" s="99">
        <f t="shared" si="25"/>
        <v>-0.4349999576807022</v>
      </c>
      <c r="L49" s="99">
        <f t="shared" si="25"/>
        <v>-0.06887488067150116</v>
      </c>
      <c r="M49" s="109">
        <f t="shared" si="25"/>
        <v>0.15466134250164032</v>
      </c>
      <c r="N49" s="38">
        <f t="shared" si="25"/>
        <v>-0.32876522839069366</v>
      </c>
      <c r="O49" s="38">
        <f>O17+O19+O28</f>
        <v>0.42449457943439484</v>
      </c>
      <c r="P49" s="38">
        <f>P17+P19+P28</f>
        <v>0.48536618053913116</v>
      </c>
      <c r="Q49" s="38">
        <f>Q17+Q19+Q28</f>
        <v>0.28490839898586273</v>
      </c>
    </row>
    <row r="50" spans="1:17" ht="12.75">
      <c r="A50" s="2">
        <v>24</v>
      </c>
      <c r="B50" s="1" t="s">
        <v>33</v>
      </c>
      <c r="C50" s="9">
        <f>C22+C24</f>
        <v>3890709</v>
      </c>
      <c r="D50" s="9">
        <f aca="true" t="shared" si="26" ref="D50:N50">D22+D24</f>
        <v>5338649</v>
      </c>
      <c r="E50" s="9">
        <f t="shared" si="26"/>
        <v>7708043</v>
      </c>
      <c r="F50" s="9">
        <f t="shared" si="26"/>
        <v>7888029</v>
      </c>
      <c r="G50" s="38">
        <f>G22+G24</f>
        <v>23406218</v>
      </c>
      <c r="H50" s="38">
        <f t="shared" si="26"/>
        <v>5348827</v>
      </c>
      <c r="I50" s="38">
        <f t="shared" si="26"/>
        <v>4505607</v>
      </c>
      <c r="J50" s="38">
        <f t="shared" si="26"/>
        <v>3508395</v>
      </c>
      <c r="K50" s="99">
        <f>K22+K24</f>
        <v>5343395</v>
      </c>
      <c r="L50" s="99">
        <f t="shared" si="26"/>
        <v>6343395</v>
      </c>
      <c r="M50" s="109">
        <f>M22+M24-1</f>
        <v>3343392</v>
      </c>
      <c r="N50" s="38">
        <f t="shared" si="26"/>
        <v>3175463</v>
      </c>
      <c r="O50" s="38">
        <f>O22+O24</f>
        <v>2864992</v>
      </c>
      <c r="P50" s="38">
        <f>P22+P24</f>
        <v>1828745</v>
      </c>
      <c r="Q50" s="38">
        <f>Q22+Q24</f>
        <v>1090069</v>
      </c>
    </row>
    <row r="51" spans="1:17" ht="12.75" hidden="1">
      <c r="A51" s="3">
        <v>24</v>
      </c>
      <c r="B51" s="5" t="s">
        <v>78</v>
      </c>
      <c r="C51" s="29">
        <f>+C7-C46</f>
        <v>19161814</v>
      </c>
      <c r="D51" s="29">
        <f>+D7-D46</f>
        <v>6695808</v>
      </c>
      <c r="E51" s="29">
        <f>+E7-E46</f>
        <v>-5961719</v>
      </c>
      <c r="F51" s="29">
        <f>+F7-F46</f>
        <v>-5437102</v>
      </c>
      <c r="G51" s="98">
        <f aca="true" t="shared" si="27" ref="G51:Q51">+G7-G46</f>
        <v>-604739</v>
      </c>
      <c r="H51" s="98">
        <f t="shared" si="27"/>
        <v>4136977</v>
      </c>
      <c r="I51" s="98">
        <f t="shared" si="27"/>
        <v>8211195.600000024</v>
      </c>
      <c r="J51" s="98">
        <f t="shared" si="27"/>
        <v>10761274.965000033</v>
      </c>
      <c r="K51" s="110">
        <f t="shared" si="27"/>
        <v>12542123.366125077</v>
      </c>
      <c r="L51" s="110">
        <f t="shared" si="27"/>
        <v>14518778.223536223</v>
      </c>
      <c r="M51" s="111">
        <f t="shared" si="27"/>
        <v>16641702.51657343</v>
      </c>
      <c r="N51" s="98">
        <f t="shared" si="27"/>
        <v>18687430.753259808</v>
      </c>
      <c r="O51" s="98">
        <f t="shared" si="27"/>
        <v>20820364.0608716</v>
      </c>
      <c r="P51" s="98">
        <f t="shared" si="27"/>
        <v>23024810.79954222</v>
      </c>
      <c r="Q51" s="98">
        <f t="shared" si="27"/>
        <v>24572942.863704056</v>
      </c>
    </row>
    <row r="52" spans="1:17" ht="12.75" hidden="1">
      <c r="A52" s="3">
        <v>25</v>
      </c>
      <c r="B52" s="5" t="s">
        <v>79</v>
      </c>
      <c r="C52" s="29">
        <f>+C7+C17-C46</f>
        <v>19161814</v>
      </c>
      <c r="D52" s="29">
        <f aca="true" t="shared" si="28" ref="D52:Q52">+D7+D17-D46</f>
        <v>10848753</v>
      </c>
      <c r="E52" s="29">
        <f t="shared" si="28"/>
        <v>-4206483</v>
      </c>
      <c r="F52" s="29">
        <f t="shared" si="28"/>
        <v>-3681866</v>
      </c>
      <c r="G52" s="98">
        <f t="shared" si="28"/>
        <v>79118</v>
      </c>
      <c r="H52" s="98">
        <f t="shared" si="28"/>
        <v>4136977</v>
      </c>
      <c r="I52" s="98">
        <f t="shared" si="28"/>
        <v>8211195.600000024</v>
      </c>
      <c r="J52" s="98">
        <f t="shared" si="28"/>
        <v>10761274.565000057</v>
      </c>
      <c r="K52" s="110">
        <f t="shared" si="28"/>
        <v>12542122.931125104</v>
      </c>
      <c r="L52" s="110">
        <f t="shared" si="28"/>
        <v>14518778.154661357</v>
      </c>
      <c r="M52" s="111">
        <f t="shared" si="28"/>
        <v>16641702.671234757</v>
      </c>
      <c r="N52" s="98">
        <f t="shared" si="28"/>
        <v>18687430.424494594</v>
      </c>
      <c r="O52" s="98">
        <f t="shared" si="28"/>
        <v>20820364.485366195</v>
      </c>
      <c r="P52" s="98">
        <f t="shared" si="28"/>
        <v>23024811.284908384</v>
      </c>
      <c r="Q52" s="98">
        <f t="shared" si="28"/>
        <v>24572943.14861244</v>
      </c>
    </row>
    <row r="53" spans="1:17" ht="12.75" hidden="1">
      <c r="A53" s="3">
        <v>24</v>
      </c>
      <c r="B53" s="5" t="s">
        <v>77</v>
      </c>
      <c r="C53" s="29">
        <f aca="true" t="shared" si="29" ref="C53:Q53">+C7-C46</f>
        <v>19161814</v>
      </c>
      <c r="D53" s="29">
        <f t="shared" si="29"/>
        <v>6695808</v>
      </c>
      <c r="E53" s="29">
        <f t="shared" si="29"/>
        <v>-5961719</v>
      </c>
      <c r="F53" s="29">
        <f t="shared" si="29"/>
        <v>-5437102</v>
      </c>
      <c r="G53" s="98">
        <f t="shared" si="29"/>
        <v>-604739</v>
      </c>
      <c r="H53" s="98">
        <f t="shared" si="29"/>
        <v>4136977</v>
      </c>
      <c r="I53" s="98">
        <f t="shared" si="29"/>
        <v>8211195.600000024</v>
      </c>
      <c r="J53" s="98">
        <f t="shared" si="29"/>
        <v>10761274.965000033</v>
      </c>
      <c r="K53" s="110">
        <f t="shared" si="29"/>
        <v>12542123.366125077</v>
      </c>
      <c r="L53" s="110">
        <f t="shared" si="29"/>
        <v>14518778.223536223</v>
      </c>
      <c r="M53" s="111">
        <f t="shared" si="29"/>
        <v>16641702.51657343</v>
      </c>
      <c r="N53" s="98">
        <f t="shared" si="29"/>
        <v>18687430.753259808</v>
      </c>
      <c r="O53" s="98">
        <f t="shared" si="29"/>
        <v>20820364.0608716</v>
      </c>
      <c r="P53" s="98">
        <f t="shared" si="29"/>
        <v>23024810.79954222</v>
      </c>
      <c r="Q53" s="98">
        <f t="shared" si="29"/>
        <v>24572942.863704056</v>
      </c>
    </row>
    <row r="54" spans="1:17" ht="12.75">
      <c r="A54" s="2">
        <v>25</v>
      </c>
      <c r="B54" s="24" t="s">
        <v>135</v>
      </c>
      <c r="C54" s="9"/>
      <c r="D54" s="9"/>
      <c r="E54" s="9"/>
      <c r="F54" s="9"/>
      <c r="G54" s="38"/>
      <c r="H54" s="38"/>
      <c r="I54" s="38"/>
      <c r="J54" s="38"/>
      <c r="K54" s="99"/>
      <c r="L54" s="99"/>
      <c r="M54" s="109"/>
      <c r="N54" s="38"/>
      <c r="O54" s="38"/>
      <c r="P54" s="38"/>
      <c r="Q54" s="38"/>
    </row>
    <row r="55" spans="1:17" ht="12.75">
      <c r="A55" s="95"/>
      <c r="B55" s="24" t="s">
        <v>127</v>
      </c>
      <c r="C55" s="9"/>
      <c r="D55" s="9"/>
      <c r="E55" s="9"/>
      <c r="F55" s="9"/>
      <c r="G55" s="38">
        <f>G48</f>
        <v>4583959</v>
      </c>
      <c r="H55" s="38">
        <f>H48</f>
        <v>5348827</v>
      </c>
      <c r="I55" s="38">
        <f>I48</f>
        <v>4505606.600000024</v>
      </c>
      <c r="J55" s="38">
        <f>J48</f>
        <v>3508394.9650000334</v>
      </c>
      <c r="K55" s="99">
        <f>K48</f>
        <v>5343395.366125077</v>
      </c>
      <c r="L55" s="99">
        <f aca="true" t="shared" si="30" ref="L55:Q55">L48</f>
        <v>6343395.223536223</v>
      </c>
      <c r="M55" s="109">
        <f t="shared" si="30"/>
        <v>3343391.516573429</v>
      </c>
      <c r="N55" s="38">
        <f t="shared" si="30"/>
        <v>3175463.753259808</v>
      </c>
      <c r="O55" s="38">
        <f t="shared" si="30"/>
        <v>2864992.060871601</v>
      </c>
      <c r="P55" s="38">
        <f t="shared" si="30"/>
        <v>1828744.7995422184</v>
      </c>
      <c r="Q55" s="38">
        <f t="shared" si="30"/>
        <v>1090068.8637040555</v>
      </c>
    </row>
    <row r="56" spans="1:17" ht="12.75">
      <c r="A56" s="97"/>
      <c r="B56" s="24" t="s">
        <v>136</v>
      </c>
      <c r="C56" s="9"/>
      <c r="D56" s="9"/>
      <c r="E56" s="9"/>
      <c r="F56" s="9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1:17" ht="12.75">
      <c r="A57" s="2">
        <v>26</v>
      </c>
      <c r="B57" s="24" t="s">
        <v>131</v>
      </c>
      <c r="C57" s="9"/>
      <c r="D57" s="9"/>
      <c r="E57" s="9"/>
      <c r="F57" s="9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1:17" ht="12.75">
      <c r="A58" s="95"/>
      <c r="B58" s="24" t="s">
        <v>128</v>
      </c>
      <c r="C58" s="9"/>
      <c r="D58" s="9"/>
      <c r="E58" s="9"/>
      <c r="F58" s="9"/>
      <c r="G58" s="38">
        <f>G49</f>
        <v>18822259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1:17" ht="12.75">
      <c r="A59" s="96"/>
      <c r="B59" s="24" t="s">
        <v>129</v>
      </c>
      <c r="C59" s="9"/>
      <c r="D59" s="9"/>
      <c r="E59" s="9"/>
      <c r="F59" s="9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1:17" ht="12.75">
      <c r="A60" s="97"/>
      <c r="B60" s="24" t="s">
        <v>130</v>
      </c>
      <c r="C60" s="9"/>
      <c r="D60" s="9"/>
      <c r="E60" s="9"/>
      <c r="F60" s="9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</row>
  </sheetData>
  <sheetProtection/>
  <mergeCells count="4">
    <mergeCell ref="P3:Q3"/>
    <mergeCell ref="A3:O3"/>
    <mergeCell ref="A31:B31"/>
    <mergeCell ref="A5:B5"/>
  </mergeCells>
  <printOptions/>
  <pageMargins left="0.57" right="0.18" top="0.37" bottom="0.472440944881889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0"/>
  <sheetViews>
    <sheetView view="pageBreakPreview" zoomScale="90" zoomScaleSheetLayoutView="90"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1" sqref="A31:B31"/>
    </sheetView>
  </sheetViews>
  <sheetFormatPr defaultColWidth="9.140625" defaultRowHeight="12.75"/>
  <cols>
    <col min="1" max="1" width="48.7109375" style="24" customWidth="1"/>
    <col min="2" max="2" width="12.8515625" style="24" customWidth="1"/>
    <col min="3" max="3" width="15.28125" style="24" customWidth="1"/>
    <col min="4" max="5" width="9.140625" style="24" customWidth="1"/>
    <col min="6" max="6" width="14.00390625" style="24" customWidth="1"/>
    <col min="7" max="7" width="12.421875" style="24" customWidth="1"/>
    <col min="8" max="8" width="12.140625" style="24" customWidth="1"/>
    <col min="9" max="9" width="11.7109375" style="24" customWidth="1"/>
    <col min="10" max="15" width="9.57421875" style="24" bestFit="1" customWidth="1"/>
    <col min="16" max="16" width="14.140625" style="24" customWidth="1"/>
    <col min="17" max="16384" width="9.140625" style="24" customWidth="1"/>
  </cols>
  <sheetData>
    <row r="1" spans="1:16" ht="12.75">
      <c r="A1" s="127" t="s">
        <v>113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5" t="s">
        <v>125</v>
      </c>
      <c r="O1" s="125"/>
      <c r="P1" s="126"/>
    </row>
    <row r="2" spans="1:16" s="15" customFormat="1" ht="25.5" customHeight="1">
      <c r="A2" s="157" t="s">
        <v>51</v>
      </c>
      <c r="B2" s="158"/>
      <c r="C2" s="131" t="s">
        <v>71</v>
      </c>
      <c r="D2" s="156" t="s">
        <v>52</v>
      </c>
      <c r="E2" s="156"/>
      <c r="F2" s="131" t="s">
        <v>55</v>
      </c>
      <c r="G2" s="131" t="s">
        <v>56</v>
      </c>
      <c r="H2" s="131" t="s">
        <v>57</v>
      </c>
      <c r="I2" s="131" t="s">
        <v>58</v>
      </c>
      <c r="J2" s="131" t="s">
        <v>59</v>
      </c>
      <c r="K2" s="131" t="s">
        <v>60</v>
      </c>
      <c r="L2" s="129" t="s">
        <v>106</v>
      </c>
      <c r="M2" s="129" t="s">
        <v>107</v>
      </c>
      <c r="N2" s="129" t="s">
        <v>108</v>
      </c>
      <c r="O2" s="129" t="s">
        <v>109</v>
      </c>
      <c r="P2" s="129" t="s">
        <v>114</v>
      </c>
    </row>
    <row r="3" spans="1:16" s="15" customFormat="1" ht="25.5" customHeight="1">
      <c r="A3" s="159"/>
      <c r="B3" s="160"/>
      <c r="C3" s="131"/>
      <c r="D3" s="16" t="s">
        <v>53</v>
      </c>
      <c r="E3" s="16" t="s">
        <v>54</v>
      </c>
      <c r="F3" s="131"/>
      <c r="G3" s="131"/>
      <c r="H3" s="131"/>
      <c r="I3" s="131"/>
      <c r="J3" s="131"/>
      <c r="K3" s="131"/>
      <c r="L3" s="130"/>
      <c r="M3" s="130"/>
      <c r="N3" s="130"/>
      <c r="O3" s="130"/>
      <c r="P3" s="130"/>
    </row>
    <row r="4" spans="1:16" s="73" customFormat="1" ht="20.25" customHeight="1">
      <c r="A4" s="55" t="s">
        <v>61</v>
      </c>
      <c r="B4" s="72"/>
      <c r="F4" s="74">
        <f>F5+F6</f>
        <v>46691864</v>
      </c>
      <c r="G4" s="74">
        <f>SUM(G5:G6)</f>
        <v>25145300</v>
      </c>
      <c r="H4" s="74">
        <f aca="true" t="shared" si="0" ref="H4:O4">SUM(H5:H6)</f>
        <v>3179331</v>
      </c>
      <c r="I4" s="74">
        <f t="shared" si="0"/>
        <v>1779547</v>
      </c>
      <c r="J4" s="74">
        <f t="shared" si="0"/>
        <v>818598</v>
      </c>
      <c r="K4" s="74">
        <f t="shared" si="0"/>
        <v>583396</v>
      </c>
      <c r="L4" s="74">
        <f t="shared" si="0"/>
        <v>636112</v>
      </c>
      <c r="M4" s="74">
        <f t="shared" si="0"/>
        <v>628211</v>
      </c>
      <c r="N4" s="74">
        <f t="shared" si="0"/>
        <v>620310</v>
      </c>
      <c r="O4" s="74">
        <f t="shared" si="0"/>
        <v>358955</v>
      </c>
      <c r="P4" s="74">
        <f>P5+P6</f>
        <v>18292662</v>
      </c>
    </row>
    <row r="5" spans="1:16" s="76" customFormat="1" ht="18" customHeight="1">
      <c r="A5" s="56" t="s">
        <v>62</v>
      </c>
      <c r="B5" s="75"/>
      <c r="F5" s="77">
        <f>F8+F34+F53</f>
        <v>13819848</v>
      </c>
      <c r="G5" s="77">
        <f aca="true" t="shared" si="1" ref="G5:O5">+G8+G34+G53</f>
        <v>4721980</v>
      </c>
      <c r="H5" s="77">
        <f t="shared" si="1"/>
        <v>3156831</v>
      </c>
      <c r="I5" s="77">
        <f t="shared" si="1"/>
        <v>1779547</v>
      </c>
      <c r="J5" s="77">
        <f t="shared" si="1"/>
        <v>818598</v>
      </c>
      <c r="K5" s="77">
        <f>+K8+K34+K53</f>
        <v>583396</v>
      </c>
      <c r="L5" s="77">
        <f>+L8+L34+L53</f>
        <v>636112</v>
      </c>
      <c r="M5" s="77">
        <f t="shared" si="1"/>
        <v>628211</v>
      </c>
      <c r="N5" s="77">
        <f t="shared" si="1"/>
        <v>620310</v>
      </c>
      <c r="O5" s="77">
        <f t="shared" si="1"/>
        <v>358955</v>
      </c>
      <c r="P5" s="77">
        <f>P8+P34</f>
        <v>2880843</v>
      </c>
    </row>
    <row r="6" spans="1:16" s="79" customFormat="1" ht="18.75" customHeight="1">
      <c r="A6" s="57" t="s">
        <v>63</v>
      </c>
      <c r="B6" s="78"/>
      <c r="F6" s="80">
        <f>F9+F51</f>
        <v>32872016</v>
      </c>
      <c r="G6" s="80">
        <f aca="true" t="shared" si="2" ref="G6:O6">+G9+G51</f>
        <v>20423320</v>
      </c>
      <c r="H6" s="80">
        <f t="shared" si="2"/>
        <v>22500</v>
      </c>
      <c r="I6" s="80">
        <f t="shared" si="2"/>
        <v>0</v>
      </c>
      <c r="J6" s="80">
        <f t="shared" si="2"/>
        <v>0</v>
      </c>
      <c r="K6" s="80">
        <f t="shared" si="2"/>
        <v>0</v>
      </c>
      <c r="L6" s="80">
        <f t="shared" si="2"/>
        <v>0</v>
      </c>
      <c r="M6" s="80">
        <f t="shared" si="2"/>
        <v>0</v>
      </c>
      <c r="N6" s="80">
        <f t="shared" si="2"/>
        <v>0</v>
      </c>
      <c r="O6" s="80">
        <f t="shared" si="2"/>
        <v>0</v>
      </c>
      <c r="P6" s="80">
        <f>P9</f>
        <v>15411819</v>
      </c>
    </row>
    <row r="7" spans="1:16" s="28" customFormat="1" ht="18" customHeight="1">
      <c r="A7" s="61" t="s">
        <v>64</v>
      </c>
      <c r="B7" s="62"/>
      <c r="F7" s="63">
        <f>F8+F9</f>
        <v>34295592</v>
      </c>
      <c r="G7" s="63">
        <f>C4+G8+G9</f>
        <v>21375271</v>
      </c>
      <c r="H7" s="63">
        <f>+H8+H9</f>
        <v>167192</v>
      </c>
      <c r="I7" s="63">
        <f>+I8+I9</f>
        <v>0</v>
      </c>
      <c r="J7" s="63">
        <f>+J8+J9</f>
        <v>0</v>
      </c>
      <c r="K7" s="63">
        <f>+K8+K9</f>
        <v>0</v>
      </c>
      <c r="P7" s="58">
        <f>P8+P9</f>
        <v>16508462</v>
      </c>
    </row>
    <row r="8" spans="1:16" s="66" customFormat="1" ht="18" customHeight="1">
      <c r="A8" s="64" t="s">
        <v>62</v>
      </c>
      <c r="B8" s="65"/>
      <c r="F8" s="67">
        <f>F11+F26+F29</f>
        <v>1423576</v>
      </c>
      <c r="G8" s="67">
        <f aca="true" t="shared" si="3" ref="G8:O8">+G11+G26+G29</f>
        <v>951951</v>
      </c>
      <c r="H8" s="67">
        <f t="shared" si="3"/>
        <v>144692</v>
      </c>
      <c r="I8" s="67">
        <f t="shared" si="3"/>
        <v>0</v>
      </c>
      <c r="J8" s="67">
        <f t="shared" si="3"/>
        <v>0</v>
      </c>
      <c r="K8" s="67">
        <f t="shared" si="3"/>
        <v>0</v>
      </c>
      <c r="L8" s="67">
        <f t="shared" si="3"/>
        <v>0</v>
      </c>
      <c r="M8" s="67">
        <f t="shared" si="3"/>
        <v>0</v>
      </c>
      <c r="N8" s="67">
        <f t="shared" si="3"/>
        <v>0</v>
      </c>
      <c r="O8" s="67">
        <f t="shared" si="3"/>
        <v>0</v>
      </c>
      <c r="P8" s="59">
        <f>P11+P26+P29</f>
        <v>1096643</v>
      </c>
    </row>
    <row r="9" spans="1:16" s="70" customFormat="1" ht="17.25" customHeight="1">
      <c r="A9" s="68" t="s">
        <v>63</v>
      </c>
      <c r="B9" s="69"/>
      <c r="F9" s="71">
        <f>F17+F27+F31</f>
        <v>32872016</v>
      </c>
      <c r="G9" s="71">
        <f>+G17+G27+G31</f>
        <v>20423320</v>
      </c>
      <c r="H9" s="71">
        <f aca="true" t="shared" si="4" ref="H9:O9">+H17+H27+H31</f>
        <v>22500</v>
      </c>
      <c r="I9" s="71">
        <f t="shared" si="4"/>
        <v>0</v>
      </c>
      <c r="J9" s="71">
        <f t="shared" si="4"/>
        <v>0</v>
      </c>
      <c r="K9" s="71">
        <f t="shared" si="4"/>
        <v>0</v>
      </c>
      <c r="L9" s="71">
        <f t="shared" si="4"/>
        <v>0</v>
      </c>
      <c r="M9" s="71">
        <f t="shared" si="4"/>
        <v>0</v>
      </c>
      <c r="N9" s="71">
        <f t="shared" si="4"/>
        <v>0</v>
      </c>
      <c r="O9" s="71">
        <f t="shared" si="4"/>
        <v>0</v>
      </c>
      <c r="P9" s="60">
        <f>P17</f>
        <v>15411819</v>
      </c>
    </row>
    <row r="10" spans="1:16" ht="24.75" customHeight="1">
      <c r="A10" s="153" t="s">
        <v>72</v>
      </c>
      <c r="B10" s="155"/>
      <c r="C10" s="154"/>
      <c r="F10" s="25">
        <f>F11+F17</f>
        <v>32744014</v>
      </c>
      <c r="G10" s="25">
        <f>+G11+G17</f>
        <v>19958837</v>
      </c>
      <c r="H10" s="25">
        <f>+H11+H17</f>
        <v>148992</v>
      </c>
      <c r="I10" s="25">
        <f>+I11+I17</f>
        <v>0</v>
      </c>
      <c r="J10" s="25">
        <f>+J11+J17</f>
        <v>0</v>
      </c>
      <c r="K10" s="25">
        <f>+K11+K17</f>
        <v>0</v>
      </c>
      <c r="P10" s="17">
        <f>P11+P17</f>
        <v>16413362</v>
      </c>
    </row>
    <row r="11" spans="1:36" s="18" customFormat="1" ht="18" customHeight="1">
      <c r="A11" s="42" t="s">
        <v>62</v>
      </c>
      <c r="B11" s="43"/>
      <c r="F11" s="19">
        <f aca="true" t="shared" si="5" ref="F11:K11">SUM(F12:F16)</f>
        <v>1328476</v>
      </c>
      <c r="G11" s="19">
        <f t="shared" si="5"/>
        <v>875051</v>
      </c>
      <c r="H11" s="19">
        <f t="shared" si="5"/>
        <v>126492</v>
      </c>
      <c r="I11" s="19">
        <f t="shared" si="5"/>
        <v>0</v>
      </c>
      <c r="J11" s="19">
        <f t="shared" si="5"/>
        <v>0</v>
      </c>
      <c r="K11" s="19">
        <f t="shared" si="5"/>
        <v>0</v>
      </c>
      <c r="L11" s="19">
        <f aca="true" t="shared" si="6" ref="L11:AJ11">SUM(L12:L14)</f>
        <v>0</v>
      </c>
      <c r="M11" s="19">
        <f t="shared" si="6"/>
        <v>0</v>
      </c>
      <c r="N11" s="19">
        <f t="shared" si="6"/>
        <v>0</v>
      </c>
      <c r="O11" s="19">
        <f t="shared" si="6"/>
        <v>0</v>
      </c>
      <c r="P11" s="19">
        <f aca="true" t="shared" si="7" ref="P11:P16">SUM(G11:O11)</f>
        <v>1001543</v>
      </c>
      <c r="Q11" s="19">
        <f t="shared" si="6"/>
        <v>0</v>
      </c>
      <c r="R11" s="19">
        <f t="shared" si="6"/>
        <v>0</v>
      </c>
      <c r="S11" s="19">
        <f t="shared" si="6"/>
        <v>0</v>
      </c>
      <c r="T11" s="19">
        <f t="shared" si="6"/>
        <v>0</v>
      </c>
      <c r="U11" s="19">
        <f t="shared" si="6"/>
        <v>0</v>
      </c>
      <c r="V11" s="19">
        <f t="shared" si="6"/>
        <v>0</v>
      </c>
      <c r="W11" s="19">
        <f t="shared" si="6"/>
        <v>0</v>
      </c>
      <c r="X11" s="19">
        <f t="shared" si="6"/>
        <v>0</v>
      </c>
      <c r="Y11" s="19">
        <f t="shared" si="6"/>
        <v>0</v>
      </c>
      <c r="Z11" s="19">
        <f t="shared" si="6"/>
        <v>0</v>
      </c>
      <c r="AA11" s="19">
        <f t="shared" si="6"/>
        <v>0</v>
      </c>
      <c r="AB11" s="19">
        <f t="shared" si="6"/>
        <v>0</v>
      </c>
      <c r="AC11" s="19">
        <f t="shared" si="6"/>
        <v>0</v>
      </c>
      <c r="AD11" s="19">
        <f t="shared" si="6"/>
        <v>0</v>
      </c>
      <c r="AE11" s="19">
        <f t="shared" si="6"/>
        <v>0</v>
      </c>
      <c r="AF11" s="19">
        <f t="shared" si="6"/>
        <v>0</v>
      </c>
      <c r="AG11" s="19">
        <f t="shared" si="6"/>
        <v>0</v>
      </c>
      <c r="AH11" s="19">
        <f t="shared" si="6"/>
        <v>0</v>
      </c>
      <c r="AI11" s="19">
        <f t="shared" si="6"/>
        <v>0</v>
      </c>
      <c r="AJ11" s="19">
        <f t="shared" si="6"/>
        <v>0</v>
      </c>
    </row>
    <row r="12" spans="1:16" s="26" customFormat="1" ht="42.75" customHeight="1">
      <c r="A12" s="141" t="s">
        <v>122</v>
      </c>
      <c r="B12" s="142"/>
      <c r="C12" s="45" t="s">
        <v>85</v>
      </c>
      <c r="D12" s="51">
        <v>2010</v>
      </c>
      <c r="E12" s="51">
        <v>2011</v>
      </c>
      <c r="F12" s="52">
        <v>288450</v>
      </c>
      <c r="G12" s="52">
        <v>288450</v>
      </c>
      <c r="H12" s="52">
        <v>0</v>
      </c>
      <c r="I12" s="52">
        <v>0</v>
      </c>
      <c r="J12" s="52"/>
      <c r="K12" s="52"/>
      <c r="L12" s="51"/>
      <c r="M12" s="51"/>
      <c r="N12" s="51"/>
      <c r="O12" s="51"/>
      <c r="P12" s="53">
        <f t="shared" si="7"/>
        <v>288450</v>
      </c>
    </row>
    <row r="13" spans="1:16" s="26" customFormat="1" ht="29.25" customHeight="1">
      <c r="A13" s="141" t="s">
        <v>83</v>
      </c>
      <c r="B13" s="142"/>
      <c r="C13" s="45" t="s">
        <v>84</v>
      </c>
      <c r="D13" s="51">
        <v>2010</v>
      </c>
      <c r="E13" s="51">
        <v>2012</v>
      </c>
      <c r="F13" s="52">
        <f>G13+H13</f>
        <v>132027</v>
      </c>
      <c r="G13" s="52">
        <v>107985</v>
      </c>
      <c r="H13" s="52">
        <v>24042</v>
      </c>
      <c r="I13" s="52">
        <v>0</v>
      </c>
      <c r="J13" s="52"/>
      <c r="K13" s="52"/>
      <c r="L13" s="51"/>
      <c r="M13" s="51"/>
      <c r="N13" s="51"/>
      <c r="O13" s="51"/>
      <c r="P13" s="53">
        <f t="shared" si="7"/>
        <v>132027</v>
      </c>
    </row>
    <row r="14" spans="1:16" s="26" customFormat="1" ht="42" customHeight="1">
      <c r="A14" s="141" t="s">
        <v>86</v>
      </c>
      <c r="B14" s="142"/>
      <c r="C14" s="45" t="s">
        <v>87</v>
      </c>
      <c r="D14" s="51">
        <v>2010</v>
      </c>
      <c r="E14" s="51">
        <v>2012</v>
      </c>
      <c r="F14" s="52">
        <f>G14+H14</f>
        <v>271650</v>
      </c>
      <c r="G14" s="52">
        <v>169200</v>
      </c>
      <c r="H14" s="52">
        <v>102450</v>
      </c>
      <c r="I14" s="52">
        <v>0</v>
      </c>
      <c r="J14" s="52"/>
      <c r="K14" s="52"/>
      <c r="L14" s="51"/>
      <c r="M14" s="51"/>
      <c r="N14" s="51"/>
      <c r="O14" s="51"/>
      <c r="P14" s="53">
        <f t="shared" si="7"/>
        <v>271650</v>
      </c>
    </row>
    <row r="15" spans="1:16" s="26" customFormat="1" ht="30.75" customHeight="1">
      <c r="A15" s="141" t="s">
        <v>99</v>
      </c>
      <c r="B15" s="142"/>
      <c r="C15" s="147" t="s">
        <v>100</v>
      </c>
      <c r="D15" s="145">
        <v>2010</v>
      </c>
      <c r="E15" s="145">
        <v>2011</v>
      </c>
      <c r="F15" s="52">
        <v>280560</v>
      </c>
      <c r="G15" s="52">
        <v>145616</v>
      </c>
      <c r="H15" s="52"/>
      <c r="I15" s="52"/>
      <c r="J15" s="52"/>
      <c r="K15" s="52"/>
      <c r="L15" s="51"/>
      <c r="M15" s="51"/>
      <c r="N15" s="51"/>
      <c r="O15" s="51"/>
      <c r="P15" s="53">
        <f t="shared" si="7"/>
        <v>145616</v>
      </c>
    </row>
    <row r="16" spans="1:16" s="26" customFormat="1" ht="18" customHeight="1">
      <c r="A16" s="141" t="s">
        <v>101</v>
      </c>
      <c r="B16" s="142"/>
      <c r="C16" s="148"/>
      <c r="D16" s="146"/>
      <c r="E16" s="146"/>
      <c r="F16" s="52">
        <v>355789</v>
      </c>
      <c r="G16" s="52">
        <v>163800</v>
      </c>
      <c r="H16" s="52"/>
      <c r="I16" s="52"/>
      <c r="J16" s="52"/>
      <c r="K16" s="52"/>
      <c r="L16" s="51"/>
      <c r="M16" s="51"/>
      <c r="N16" s="51"/>
      <c r="O16" s="51"/>
      <c r="P16" s="53">
        <f t="shared" si="7"/>
        <v>163800</v>
      </c>
    </row>
    <row r="17" spans="1:16" s="20" customFormat="1" ht="19.5" customHeight="1">
      <c r="A17" s="149" t="s">
        <v>63</v>
      </c>
      <c r="B17" s="150"/>
      <c r="C17" s="81"/>
      <c r="F17" s="21">
        <f aca="true" t="shared" si="8" ref="F17:N17">SUM(F18:F24)</f>
        <v>31415538</v>
      </c>
      <c r="G17" s="21">
        <f t="shared" si="8"/>
        <v>19083786</v>
      </c>
      <c r="H17" s="21">
        <f t="shared" si="8"/>
        <v>22500</v>
      </c>
      <c r="I17" s="21">
        <f t="shared" si="8"/>
        <v>0</v>
      </c>
      <c r="J17" s="21">
        <f t="shared" si="8"/>
        <v>0</v>
      </c>
      <c r="K17" s="21">
        <f t="shared" si="8"/>
        <v>0</v>
      </c>
      <c r="L17" s="21">
        <f t="shared" si="8"/>
        <v>0</v>
      </c>
      <c r="M17" s="21">
        <f t="shared" si="8"/>
        <v>0</v>
      </c>
      <c r="N17" s="21">
        <f t="shared" si="8"/>
        <v>0</v>
      </c>
      <c r="P17" s="21">
        <f>SUM(P18:P25)</f>
        <v>15411819</v>
      </c>
    </row>
    <row r="18" spans="1:16" s="26" customFormat="1" ht="39.75" customHeight="1">
      <c r="A18" s="141" t="s">
        <v>88</v>
      </c>
      <c r="B18" s="142"/>
      <c r="C18" s="45" t="s">
        <v>82</v>
      </c>
      <c r="D18" s="51">
        <v>2009</v>
      </c>
      <c r="E18" s="51">
        <v>2011</v>
      </c>
      <c r="F18" s="52">
        <v>6701897</v>
      </c>
      <c r="G18" s="52">
        <v>1241660</v>
      </c>
      <c r="H18" s="52"/>
      <c r="I18" s="52"/>
      <c r="J18" s="52"/>
      <c r="K18" s="52"/>
      <c r="L18" s="51"/>
      <c r="M18" s="51"/>
      <c r="N18" s="51"/>
      <c r="O18" s="51"/>
      <c r="P18" s="53">
        <v>0</v>
      </c>
    </row>
    <row r="19" spans="1:16" s="26" customFormat="1" ht="44.25" customHeight="1">
      <c r="A19" s="141" t="s">
        <v>89</v>
      </c>
      <c r="B19" s="142"/>
      <c r="C19" s="45" t="s">
        <v>82</v>
      </c>
      <c r="D19" s="51">
        <v>2009</v>
      </c>
      <c r="E19" s="51">
        <v>2011</v>
      </c>
      <c r="F19" s="52">
        <v>8597164</v>
      </c>
      <c r="G19" s="52">
        <v>1911483</v>
      </c>
      <c r="H19" s="52">
        <v>0</v>
      </c>
      <c r="I19" s="52"/>
      <c r="J19" s="52"/>
      <c r="K19" s="52"/>
      <c r="L19" s="51"/>
      <c r="M19" s="51"/>
      <c r="N19" s="51"/>
      <c r="O19" s="51"/>
      <c r="P19" s="53">
        <v>352499</v>
      </c>
    </row>
    <row r="20" spans="1:16" s="26" customFormat="1" ht="43.5" customHeight="1">
      <c r="A20" s="137" t="s">
        <v>90</v>
      </c>
      <c r="B20" s="138"/>
      <c r="C20" s="45" t="s">
        <v>82</v>
      </c>
      <c r="D20" s="51">
        <v>2007</v>
      </c>
      <c r="E20" s="51">
        <v>2011</v>
      </c>
      <c r="F20" s="52">
        <v>955992</v>
      </c>
      <c r="G20" s="52">
        <v>893823</v>
      </c>
      <c r="H20" s="52"/>
      <c r="I20" s="52"/>
      <c r="J20" s="52"/>
      <c r="K20" s="52"/>
      <c r="L20" s="51"/>
      <c r="M20" s="51"/>
      <c r="N20" s="51"/>
      <c r="O20" s="51"/>
      <c r="P20" s="53">
        <v>0</v>
      </c>
    </row>
    <row r="21" spans="1:16" s="26" customFormat="1" ht="51" customHeight="1">
      <c r="A21" s="137" t="s">
        <v>91</v>
      </c>
      <c r="B21" s="138"/>
      <c r="C21" s="45" t="s">
        <v>82</v>
      </c>
      <c r="D21" s="51">
        <v>2009</v>
      </c>
      <c r="E21" s="51">
        <v>2012</v>
      </c>
      <c r="F21" s="52">
        <v>2996668</v>
      </c>
      <c r="G21" s="52">
        <v>2929080</v>
      </c>
      <c r="H21" s="52"/>
      <c r="I21" s="52"/>
      <c r="J21" s="52"/>
      <c r="K21" s="52"/>
      <c r="L21" s="51"/>
      <c r="M21" s="51"/>
      <c r="N21" s="51"/>
      <c r="O21" s="51"/>
      <c r="P21" s="53">
        <f aca="true" t="shared" si="9" ref="P21:P27">SUM(G21:O21)</f>
        <v>2929080</v>
      </c>
    </row>
    <row r="22" spans="1:16" s="26" customFormat="1" ht="60.75" customHeight="1">
      <c r="A22" s="137" t="s">
        <v>92</v>
      </c>
      <c r="B22" s="138"/>
      <c r="C22" s="45" t="s">
        <v>82</v>
      </c>
      <c r="D22" s="51">
        <v>2009</v>
      </c>
      <c r="E22" s="51">
        <v>2011</v>
      </c>
      <c r="F22" s="52">
        <v>6944936</v>
      </c>
      <c r="G22" s="52">
        <v>6933834</v>
      </c>
      <c r="H22" s="52">
        <v>0</v>
      </c>
      <c r="I22" s="52">
        <v>0</v>
      </c>
      <c r="J22" s="52"/>
      <c r="K22" s="52"/>
      <c r="L22" s="51"/>
      <c r="M22" s="51"/>
      <c r="N22" s="51"/>
      <c r="O22" s="51"/>
      <c r="P22" s="53">
        <f t="shared" si="9"/>
        <v>6933834</v>
      </c>
    </row>
    <row r="23" spans="1:16" s="26" customFormat="1" ht="42.75" customHeight="1">
      <c r="A23" s="139" t="s">
        <v>93</v>
      </c>
      <c r="B23" s="140"/>
      <c r="C23" s="45" t="s">
        <v>82</v>
      </c>
      <c r="D23" s="51">
        <v>2009</v>
      </c>
      <c r="E23" s="51">
        <v>2011</v>
      </c>
      <c r="F23" s="52">
        <v>3926621</v>
      </c>
      <c r="G23" s="52">
        <v>3916161</v>
      </c>
      <c r="H23" s="52">
        <v>0</v>
      </c>
      <c r="I23" s="52">
        <v>0</v>
      </c>
      <c r="J23" s="52"/>
      <c r="K23" s="52"/>
      <c r="L23" s="51"/>
      <c r="M23" s="51"/>
      <c r="N23" s="51"/>
      <c r="O23" s="51"/>
      <c r="P23" s="53">
        <f t="shared" si="9"/>
        <v>3916161</v>
      </c>
    </row>
    <row r="24" spans="1:16" s="26" customFormat="1" ht="41.25" customHeight="1">
      <c r="A24" s="139" t="s">
        <v>94</v>
      </c>
      <c r="B24" s="140"/>
      <c r="C24" s="45" t="s">
        <v>82</v>
      </c>
      <c r="D24" s="51">
        <v>2009</v>
      </c>
      <c r="E24" s="51">
        <v>2012</v>
      </c>
      <c r="F24" s="52">
        <v>1292260</v>
      </c>
      <c r="G24" s="52">
        <v>1257745</v>
      </c>
      <c r="H24" s="52">
        <v>22500</v>
      </c>
      <c r="I24" s="52"/>
      <c r="J24" s="52"/>
      <c r="K24" s="52"/>
      <c r="L24" s="51"/>
      <c r="M24" s="51"/>
      <c r="N24" s="51"/>
      <c r="O24" s="51"/>
      <c r="P24" s="53">
        <f>SUM(G24:O24)</f>
        <v>1280245</v>
      </c>
    </row>
    <row r="25" spans="1:16" ht="30.75" customHeight="1">
      <c r="A25" s="153" t="s">
        <v>65</v>
      </c>
      <c r="B25" s="154"/>
      <c r="C25" s="33"/>
      <c r="F25" s="25">
        <v>0</v>
      </c>
      <c r="G25" s="25">
        <f>+G26+G27</f>
        <v>0</v>
      </c>
      <c r="H25" s="25">
        <f>+H26+H27</f>
        <v>0</v>
      </c>
      <c r="I25" s="25">
        <f>+I26+I27</f>
        <v>0</v>
      </c>
      <c r="J25" s="25">
        <f>+J26+J27</f>
        <v>0</v>
      </c>
      <c r="K25" s="25">
        <f>+K26+K27</f>
        <v>0</v>
      </c>
      <c r="P25" s="17">
        <f t="shared" si="9"/>
        <v>0</v>
      </c>
    </row>
    <row r="26" spans="1:16" s="18" customFormat="1" ht="20.25" customHeight="1">
      <c r="A26" s="151" t="s">
        <v>62</v>
      </c>
      <c r="B26" s="152"/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P26" s="19">
        <f t="shared" si="9"/>
        <v>0</v>
      </c>
    </row>
    <row r="27" spans="1:16" s="20" customFormat="1" ht="20.25" customHeight="1">
      <c r="A27" s="149" t="s">
        <v>63</v>
      </c>
      <c r="B27" s="150"/>
      <c r="F27" s="21">
        <v>0</v>
      </c>
      <c r="G27" s="21"/>
      <c r="H27" s="21"/>
      <c r="I27" s="21"/>
      <c r="J27" s="21"/>
      <c r="K27" s="21"/>
      <c r="P27" s="21">
        <f t="shared" si="9"/>
        <v>0</v>
      </c>
    </row>
    <row r="28" spans="1:16" ht="28.5" customHeight="1">
      <c r="A28" s="153" t="s">
        <v>110</v>
      </c>
      <c r="B28" s="154"/>
      <c r="C28" s="44"/>
      <c r="F28" s="25">
        <f>+F29+F31</f>
        <v>1551578</v>
      </c>
      <c r="G28" s="25">
        <f>+G29+G31</f>
        <v>1416434</v>
      </c>
      <c r="H28" s="25">
        <f aca="true" t="shared" si="10" ref="H28:N28">+H29+H31</f>
        <v>18200</v>
      </c>
      <c r="I28" s="25">
        <f t="shared" si="10"/>
        <v>0</v>
      </c>
      <c r="J28" s="25">
        <f t="shared" si="10"/>
        <v>0</v>
      </c>
      <c r="K28" s="25">
        <f t="shared" si="10"/>
        <v>0</v>
      </c>
      <c r="L28" s="25">
        <f t="shared" si="10"/>
        <v>0</v>
      </c>
      <c r="M28" s="25">
        <f t="shared" si="10"/>
        <v>0</v>
      </c>
      <c r="N28" s="25">
        <f t="shared" si="10"/>
        <v>0</v>
      </c>
      <c r="P28" s="17">
        <f>P29+P31</f>
        <v>95100</v>
      </c>
    </row>
    <row r="29" spans="1:16" s="18" customFormat="1" ht="21.75" customHeight="1">
      <c r="A29" s="151" t="s">
        <v>62</v>
      </c>
      <c r="B29" s="152"/>
      <c r="F29" s="19">
        <f>F30</f>
        <v>95100</v>
      </c>
      <c r="G29" s="19">
        <f>+G30</f>
        <v>76900</v>
      </c>
      <c r="H29" s="19">
        <f>+H30</f>
        <v>18200</v>
      </c>
      <c r="I29" s="19">
        <f aca="true" t="shared" si="11" ref="I29:N29">+I30</f>
        <v>0</v>
      </c>
      <c r="J29" s="19">
        <f t="shared" si="11"/>
        <v>0</v>
      </c>
      <c r="K29" s="19">
        <f t="shared" si="11"/>
        <v>0</v>
      </c>
      <c r="L29" s="19">
        <f t="shared" si="11"/>
        <v>0</v>
      </c>
      <c r="M29" s="19">
        <f t="shared" si="11"/>
        <v>0</v>
      </c>
      <c r="N29" s="19">
        <f t="shared" si="11"/>
        <v>0</v>
      </c>
      <c r="P29" s="19">
        <f>SUM(G29:O29)</f>
        <v>95100</v>
      </c>
    </row>
    <row r="30" spans="1:16" s="115" customFormat="1" ht="30.75" customHeight="1">
      <c r="A30" s="135" t="s">
        <v>143</v>
      </c>
      <c r="B30" s="136"/>
      <c r="C30" s="107" t="s">
        <v>82</v>
      </c>
      <c r="D30" s="108">
        <v>2011</v>
      </c>
      <c r="E30" s="108">
        <v>2012</v>
      </c>
      <c r="F30" s="53">
        <f>G30+H30</f>
        <v>95100</v>
      </c>
      <c r="G30" s="53">
        <v>76900</v>
      </c>
      <c r="H30" s="53">
        <v>18200</v>
      </c>
      <c r="I30" s="53"/>
      <c r="J30" s="53"/>
      <c r="K30" s="53"/>
      <c r="L30" s="108"/>
      <c r="M30" s="108"/>
      <c r="N30" s="108"/>
      <c r="O30" s="108"/>
      <c r="P30" s="53">
        <f>SUM(G30:O30)</f>
        <v>95100</v>
      </c>
    </row>
    <row r="31" spans="1:17" s="20" customFormat="1" ht="21" customHeight="1">
      <c r="A31" s="149" t="s">
        <v>63</v>
      </c>
      <c r="B31" s="150"/>
      <c r="F31" s="21">
        <f>SUM(F32)</f>
        <v>1456478</v>
      </c>
      <c r="G31" s="21">
        <f>SUM(G32)</f>
        <v>1339534</v>
      </c>
      <c r="H31" s="21">
        <f aca="true" t="shared" si="12" ref="H31:Q31">SUM(H32)</f>
        <v>0</v>
      </c>
      <c r="I31" s="21">
        <f t="shared" si="12"/>
        <v>0</v>
      </c>
      <c r="J31" s="21">
        <f t="shared" si="12"/>
        <v>0</v>
      </c>
      <c r="K31" s="21">
        <f t="shared" si="12"/>
        <v>0</v>
      </c>
      <c r="L31" s="21">
        <f t="shared" si="12"/>
        <v>0</v>
      </c>
      <c r="M31" s="21">
        <f t="shared" si="12"/>
        <v>0</v>
      </c>
      <c r="N31" s="21">
        <f t="shared" si="12"/>
        <v>0</v>
      </c>
      <c r="O31" s="21">
        <f t="shared" si="12"/>
        <v>0</v>
      </c>
      <c r="P31" s="21">
        <v>0</v>
      </c>
      <c r="Q31" s="21">
        <f t="shared" si="12"/>
        <v>0</v>
      </c>
    </row>
    <row r="32" spans="1:16" s="51" customFormat="1" ht="30.75" customHeight="1">
      <c r="A32" s="141" t="s">
        <v>95</v>
      </c>
      <c r="B32" s="142"/>
      <c r="C32" s="45" t="s">
        <v>82</v>
      </c>
      <c r="D32" s="51">
        <v>2010</v>
      </c>
      <c r="E32" s="51">
        <v>2011</v>
      </c>
      <c r="F32" s="52">
        <v>1456478</v>
      </c>
      <c r="G32" s="52">
        <v>1339534</v>
      </c>
      <c r="H32" s="52"/>
      <c r="I32" s="52"/>
      <c r="J32" s="52"/>
      <c r="K32" s="52"/>
      <c r="L32" s="52"/>
      <c r="M32" s="52"/>
      <c r="N32" s="52"/>
      <c r="P32" s="53">
        <v>0</v>
      </c>
    </row>
    <row r="33" spans="1:16" s="22" customFormat="1" ht="45" customHeight="1">
      <c r="A33" s="132" t="s">
        <v>66</v>
      </c>
      <c r="B33" s="133"/>
      <c r="C33" s="134"/>
      <c r="F33" s="23">
        <f aca="true" t="shared" si="13" ref="F33:L33">+F34+F51</f>
        <v>7218032</v>
      </c>
      <c r="G33" s="23">
        <f t="shared" si="13"/>
        <v>3352270</v>
      </c>
      <c r="H33" s="23">
        <f t="shared" si="13"/>
        <v>2345739</v>
      </c>
      <c r="I33" s="23">
        <f t="shared" si="13"/>
        <v>1121048</v>
      </c>
      <c r="J33" s="23">
        <f t="shared" si="13"/>
        <v>168000</v>
      </c>
      <c r="K33" s="23">
        <f t="shared" si="13"/>
        <v>42000</v>
      </c>
      <c r="L33" s="23">
        <f t="shared" si="13"/>
        <v>0</v>
      </c>
      <c r="P33" s="17">
        <v>0</v>
      </c>
    </row>
    <row r="34" spans="1:16" s="82" customFormat="1" ht="22.5" customHeight="1">
      <c r="A34" s="143" t="s">
        <v>62</v>
      </c>
      <c r="B34" s="144"/>
      <c r="F34" s="83">
        <f>SUM(F35:F50)</f>
        <v>7218032</v>
      </c>
      <c r="G34" s="83">
        <f>SUM(G35:G50)</f>
        <v>3352270</v>
      </c>
      <c r="H34" s="83">
        <f>SUM(H35:H50)</f>
        <v>2345739</v>
      </c>
      <c r="I34" s="83">
        <f>SUM(I35:I49)</f>
        <v>1121048</v>
      </c>
      <c r="J34" s="83">
        <f>SUM(J35:J49)</f>
        <v>168000</v>
      </c>
      <c r="K34" s="83">
        <f>SUM(K35:K49)</f>
        <v>42000</v>
      </c>
      <c r="L34" s="83">
        <f>SUM(L35:L44)</f>
        <v>0</v>
      </c>
      <c r="M34" s="83">
        <f>SUM(M35:M44)</f>
        <v>0</v>
      </c>
      <c r="N34" s="83">
        <f>SUM(N35:N44)</f>
        <v>0</v>
      </c>
      <c r="O34" s="83">
        <f>SUM(O35:O44)</f>
        <v>0</v>
      </c>
      <c r="P34" s="19">
        <f>SUM(P35:P50)</f>
        <v>1784200</v>
      </c>
    </row>
    <row r="35" spans="1:16" s="26" customFormat="1" ht="19.5" customHeight="1">
      <c r="A35" s="141" t="s">
        <v>111</v>
      </c>
      <c r="B35" s="142"/>
      <c r="C35" s="45" t="s">
        <v>82</v>
      </c>
      <c r="D35" s="51">
        <v>2009</v>
      </c>
      <c r="E35" s="51">
        <v>2011</v>
      </c>
      <c r="F35" s="52">
        <f aca="true" t="shared" si="14" ref="F35:F44">G35+H35+I35</f>
        <v>788000</v>
      </c>
      <c r="G35" s="52">
        <v>788000</v>
      </c>
      <c r="H35" s="52"/>
      <c r="I35" s="52"/>
      <c r="J35" s="52"/>
      <c r="K35" s="52"/>
      <c r="L35" s="51"/>
      <c r="M35" s="51"/>
      <c r="N35" s="51"/>
      <c r="O35" s="51"/>
      <c r="P35" s="53">
        <v>0</v>
      </c>
    </row>
    <row r="36" spans="1:16" s="26" customFormat="1" ht="25.5">
      <c r="A36" s="141" t="s">
        <v>105</v>
      </c>
      <c r="B36" s="142"/>
      <c r="C36" s="45" t="s">
        <v>82</v>
      </c>
      <c r="D36" s="51">
        <v>2010</v>
      </c>
      <c r="E36" s="51">
        <v>2013</v>
      </c>
      <c r="F36" s="52">
        <f t="shared" si="14"/>
        <v>3437500</v>
      </c>
      <c r="G36" s="52">
        <v>1250000</v>
      </c>
      <c r="H36" s="52">
        <v>1250000</v>
      </c>
      <c r="I36" s="52">
        <v>937500</v>
      </c>
      <c r="J36" s="52"/>
      <c r="K36" s="52"/>
      <c r="L36" s="51"/>
      <c r="M36" s="51"/>
      <c r="N36" s="51"/>
      <c r="O36" s="51"/>
      <c r="P36" s="53">
        <v>0</v>
      </c>
    </row>
    <row r="37" spans="1:16" s="26" customFormat="1" ht="31.5" customHeight="1">
      <c r="A37" s="135" t="s">
        <v>141</v>
      </c>
      <c r="B37" s="136"/>
      <c r="C37" s="45" t="s">
        <v>82</v>
      </c>
      <c r="D37" s="51">
        <v>2010</v>
      </c>
      <c r="E37" s="51">
        <v>2011</v>
      </c>
      <c r="F37" s="52">
        <f t="shared" si="14"/>
        <v>400000</v>
      </c>
      <c r="G37" s="52">
        <v>400000</v>
      </c>
      <c r="H37" s="52"/>
      <c r="I37" s="52"/>
      <c r="J37" s="52"/>
      <c r="K37" s="52"/>
      <c r="L37" s="51"/>
      <c r="M37" s="51"/>
      <c r="N37" s="51"/>
      <c r="O37" s="51"/>
      <c r="P37" s="53">
        <v>0</v>
      </c>
    </row>
    <row r="38" spans="1:16" s="26" customFormat="1" ht="25.5">
      <c r="A38" s="141" t="s">
        <v>97</v>
      </c>
      <c r="B38" s="142"/>
      <c r="C38" s="45" t="s">
        <v>82</v>
      </c>
      <c r="D38" s="51">
        <v>2010</v>
      </c>
      <c r="E38" s="51">
        <v>2011</v>
      </c>
      <c r="F38" s="52">
        <f t="shared" si="14"/>
        <v>143132</v>
      </c>
      <c r="G38" s="52">
        <v>143132</v>
      </c>
      <c r="H38" s="52"/>
      <c r="I38" s="52"/>
      <c r="J38" s="52"/>
      <c r="K38" s="52"/>
      <c r="L38" s="51"/>
      <c r="M38" s="51"/>
      <c r="N38" s="51"/>
      <c r="O38" s="51"/>
      <c r="P38" s="53">
        <v>0</v>
      </c>
    </row>
    <row r="39" spans="1:16" s="26" customFormat="1" ht="29.25" customHeight="1">
      <c r="A39" s="141" t="s">
        <v>96</v>
      </c>
      <c r="B39" s="142"/>
      <c r="C39" s="45" t="s">
        <v>82</v>
      </c>
      <c r="D39" s="51">
        <v>2010</v>
      </c>
      <c r="E39" s="51">
        <v>2012</v>
      </c>
      <c r="F39" s="52">
        <f>G39+H39+I39+180000</f>
        <v>540000</v>
      </c>
      <c r="G39" s="52">
        <v>180000</v>
      </c>
      <c r="H39" s="52">
        <v>180000</v>
      </c>
      <c r="I39" s="52"/>
      <c r="J39" s="52"/>
      <c r="K39" s="52"/>
      <c r="L39" s="51"/>
      <c r="M39" s="51"/>
      <c r="N39" s="51"/>
      <c r="O39" s="51"/>
      <c r="P39" s="53">
        <v>0</v>
      </c>
    </row>
    <row r="40" spans="1:16" s="26" customFormat="1" ht="29.25" customHeight="1" hidden="1">
      <c r="A40" s="45"/>
      <c r="B40" s="51"/>
      <c r="C40" s="45"/>
      <c r="D40" s="51"/>
      <c r="E40" s="51"/>
      <c r="F40" s="52">
        <f t="shared" si="14"/>
        <v>0</v>
      </c>
      <c r="G40" s="52"/>
      <c r="H40" s="52"/>
      <c r="I40" s="52"/>
      <c r="J40" s="52"/>
      <c r="K40" s="52"/>
      <c r="L40" s="51"/>
      <c r="M40" s="51"/>
      <c r="N40" s="51"/>
      <c r="O40" s="51"/>
      <c r="P40" s="53">
        <f>SUM(G40:O40)</f>
        <v>0</v>
      </c>
    </row>
    <row r="41" spans="1:16" s="26" customFormat="1" ht="12.75" hidden="1">
      <c r="A41" s="45"/>
      <c r="B41" s="51"/>
      <c r="C41" s="45"/>
      <c r="D41" s="51"/>
      <c r="E41" s="51"/>
      <c r="F41" s="52">
        <f t="shared" si="14"/>
        <v>0</v>
      </c>
      <c r="G41" s="52"/>
      <c r="H41" s="52"/>
      <c r="I41" s="52"/>
      <c r="J41" s="52"/>
      <c r="K41" s="52"/>
      <c r="L41" s="51"/>
      <c r="M41" s="51"/>
      <c r="N41" s="51"/>
      <c r="O41" s="51"/>
      <c r="P41" s="53">
        <f>SUM(G41:O41)</f>
        <v>0</v>
      </c>
    </row>
    <row r="42" spans="1:16" s="26" customFormat="1" ht="24.75" customHeight="1" hidden="1">
      <c r="A42" s="45"/>
      <c r="B42" s="51"/>
      <c r="C42" s="45"/>
      <c r="D42" s="51"/>
      <c r="E42" s="51"/>
      <c r="F42" s="52">
        <f t="shared" si="14"/>
        <v>0</v>
      </c>
      <c r="G42" s="52"/>
      <c r="H42" s="52"/>
      <c r="I42" s="52"/>
      <c r="J42" s="52"/>
      <c r="K42" s="52"/>
      <c r="L42" s="51"/>
      <c r="M42" s="51"/>
      <c r="N42" s="51"/>
      <c r="O42" s="51"/>
      <c r="P42" s="53">
        <f>SUM(G42:O42)</f>
        <v>0</v>
      </c>
    </row>
    <row r="43" spans="1:16" s="26" customFormat="1" ht="12.75" hidden="1">
      <c r="A43" s="45"/>
      <c r="B43" s="51"/>
      <c r="C43" s="45"/>
      <c r="D43" s="51"/>
      <c r="E43" s="51"/>
      <c r="F43" s="52">
        <f t="shared" si="14"/>
        <v>0</v>
      </c>
      <c r="G43" s="52"/>
      <c r="H43" s="52"/>
      <c r="I43" s="52"/>
      <c r="J43" s="52"/>
      <c r="K43" s="52"/>
      <c r="L43" s="51"/>
      <c r="M43" s="51"/>
      <c r="N43" s="51"/>
      <c r="O43" s="51"/>
      <c r="P43" s="53">
        <f>SUM(G43:O43)</f>
        <v>0</v>
      </c>
    </row>
    <row r="44" spans="1:16" s="26" customFormat="1" ht="12.75" hidden="1">
      <c r="A44" s="45"/>
      <c r="B44" s="51"/>
      <c r="C44" s="45"/>
      <c r="D44" s="51"/>
      <c r="E44" s="51"/>
      <c r="F44" s="52">
        <f t="shared" si="14"/>
        <v>0</v>
      </c>
      <c r="G44" s="52"/>
      <c r="H44" s="52"/>
      <c r="I44" s="52"/>
      <c r="J44" s="52"/>
      <c r="K44" s="52"/>
      <c r="L44" s="51"/>
      <c r="M44" s="51"/>
      <c r="N44" s="51"/>
      <c r="O44" s="51"/>
      <c r="P44" s="53">
        <f>SUM(G44:O44)</f>
        <v>0</v>
      </c>
    </row>
    <row r="45" spans="1:16" s="26" customFormat="1" ht="25.5">
      <c r="A45" s="87" t="s">
        <v>115</v>
      </c>
      <c r="B45" s="88"/>
      <c r="C45" s="45" t="s">
        <v>82</v>
      </c>
      <c r="D45" s="51">
        <v>2006</v>
      </c>
      <c r="E45" s="51">
        <v>2013</v>
      </c>
      <c r="F45" s="52">
        <v>115000</v>
      </c>
      <c r="G45" s="52">
        <v>61738</v>
      </c>
      <c r="H45" s="52">
        <v>32139</v>
      </c>
      <c r="I45" s="52">
        <v>12148</v>
      </c>
      <c r="J45" s="52"/>
      <c r="K45" s="52"/>
      <c r="L45" s="51"/>
      <c r="M45" s="51"/>
      <c r="N45" s="51"/>
      <c r="O45" s="51"/>
      <c r="P45" s="53">
        <v>0</v>
      </c>
    </row>
    <row r="46" spans="1:16" s="26" customFormat="1" ht="25.5">
      <c r="A46" s="87" t="s">
        <v>116</v>
      </c>
      <c r="B46" s="88"/>
      <c r="C46" s="45" t="s">
        <v>82</v>
      </c>
      <c r="D46" s="51">
        <v>2011</v>
      </c>
      <c r="E46" s="51">
        <v>2013</v>
      </c>
      <c r="F46" s="52">
        <f>SUM(G46:I46)</f>
        <v>3000</v>
      </c>
      <c r="G46" s="52">
        <v>1000</v>
      </c>
      <c r="H46" s="52">
        <v>1000</v>
      </c>
      <c r="I46" s="52">
        <v>1000</v>
      </c>
      <c r="J46" s="52"/>
      <c r="K46" s="52"/>
      <c r="L46" s="51"/>
      <c r="M46" s="51"/>
      <c r="N46" s="51"/>
      <c r="O46" s="51"/>
      <c r="P46" s="53">
        <v>0</v>
      </c>
    </row>
    <row r="47" spans="1:16" s="26" customFormat="1" ht="25.5">
      <c r="A47" s="87" t="s">
        <v>117</v>
      </c>
      <c r="B47" s="88"/>
      <c r="C47" s="45" t="s">
        <v>82</v>
      </c>
      <c r="D47" s="51">
        <v>2011</v>
      </c>
      <c r="E47" s="51">
        <v>2013</v>
      </c>
      <c r="F47" s="52">
        <f>SUM(G47:I47)</f>
        <v>7200</v>
      </c>
      <c r="G47" s="52">
        <v>2400</v>
      </c>
      <c r="H47" s="52">
        <v>2400</v>
      </c>
      <c r="I47" s="52">
        <v>2400</v>
      </c>
      <c r="J47" s="52"/>
      <c r="K47" s="52"/>
      <c r="L47" s="51"/>
      <c r="M47" s="51"/>
      <c r="N47" s="51"/>
      <c r="O47" s="51"/>
      <c r="P47" s="53">
        <v>0</v>
      </c>
    </row>
    <row r="48" spans="1:16" s="26" customFormat="1" ht="25.5">
      <c r="A48" s="100" t="s">
        <v>134</v>
      </c>
      <c r="B48" s="88"/>
      <c r="C48" s="45" t="s">
        <v>82</v>
      </c>
      <c r="D48" s="51">
        <v>2011</v>
      </c>
      <c r="E48" s="51">
        <v>2015</v>
      </c>
      <c r="F48" s="52">
        <v>672000</v>
      </c>
      <c r="G48" s="52">
        <v>126000</v>
      </c>
      <c r="H48" s="52">
        <v>168000</v>
      </c>
      <c r="I48" s="52">
        <v>168000</v>
      </c>
      <c r="J48" s="52">
        <v>168000</v>
      </c>
      <c r="K48" s="52">
        <v>42000</v>
      </c>
      <c r="L48" s="51"/>
      <c r="M48" s="51"/>
      <c r="N48" s="51"/>
      <c r="O48" s="51"/>
      <c r="P48" s="94">
        <f>SUM(G48:O48)</f>
        <v>672000</v>
      </c>
    </row>
    <row r="49" spans="1:16" s="26" customFormat="1" ht="102">
      <c r="A49" s="100" t="s">
        <v>132</v>
      </c>
      <c r="B49" s="88"/>
      <c r="C49" s="45" t="s">
        <v>82</v>
      </c>
      <c r="D49" s="51">
        <v>2012</v>
      </c>
      <c r="E49" s="51">
        <v>2012</v>
      </c>
      <c r="F49" s="52">
        <v>312200</v>
      </c>
      <c r="G49" s="52">
        <v>0</v>
      </c>
      <c r="H49" s="52">
        <f>249760+62440</f>
        <v>312200</v>
      </c>
      <c r="I49" s="52"/>
      <c r="J49" s="52"/>
      <c r="K49" s="52"/>
      <c r="L49" s="51"/>
      <c r="M49" s="51"/>
      <c r="N49" s="51"/>
      <c r="O49" s="51"/>
      <c r="P49" s="94">
        <f>SUM(G49:O49)</f>
        <v>312200</v>
      </c>
    </row>
    <row r="50" spans="1:16" s="26" customFormat="1" ht="37.5" customHeight="1">
      <c r="A50" s="113" t="s">
        <v>138</v>
      </c>
      <c r="B50" s="106"/>
      <c r="C50" s="107" t="s">
        <v>82</v>
      </c>
      <c r="D50" s="108">
        <v>2011</v>
      </c>
      <c r="E50" s="108">
        <v>2012</v>
      </c>
      <c r="F50" s="53">
        <f>G50+H50</f>
        <v>800000</v>
      </c>
      <c r="G50" s="53">
        <v>400000</v>
      </c>
      <c r="H50" s="53">
        <v>400000</v>
      </c>
      <c r="I50" s="52"/>
      <c r="J50" s="52"/>
      <c r="K50" s="52"/>
      <c r="L50" s="51"/>
      <c r="M50" s="51"/>
      <c r="N50" s="51"/>
      <c r="O50" s="51"/>
      <c r="P50" s="94">
        <f>G50+H50</f>
        <v>800000</v>
      </c>
    </row>
    <row r="51" spans="1:16" s="85" customFormat="1" ht="19.5" customHeight="1">
      <c r="A51" s="161" t="s">
        <v>63</v>
      </c>
      <c r="B51" s="162"/>
      <c r="F51" s="86"/>
      <c r="G51" s="86"/>
      <c r="H51" s="86"/>
      <c r="I51" s="86"/>
      <c r="J51" s="86"/>
      <c r="K51" s="86"/>
      <c r="P51" s="21">
        <f>SUM(G51:O51)</f>
        <v>0</v>
      </c>
    </row>
    <row r="52" spans="1:16" s="28" customFormat="1" ht="27.75" customHeight="1">
      <c r="A52" s="132" t="s">
        <v>67</v>
      </c>
      <c r="B52" s="133"/>
      <c r="C52" s="134"/>
      <c r="F52" s="23">
        <f>F53</f>
        <v>5178240</v>
      </c>
      <c r="G52" s="23">
        <f>G53</f>
        <v>417759</v>
      </c>
      <c r="H52" s="23">
        <f aca="true" t="shared" si="15" ref="H52:O52">H53</f>
        <v>666400</v>
      </c>
      <c r="I52" s="23">
        <f t="shared" si="15"/>
        <v>658499</v>
      </c>
      <c r="J52" s="23">
        <f t="shared" si="15"/>
        <v>650598</v>
      </c>
      <c r="K52" s="23">
        <f t="shared" si="15"/>
        <v>541396</v>
      </c>
      <c r="L52" s="23">
        <f t="shared" si="15"/>
        <v>636112</v>
      </c>
      <c r="M52" s="23">
        <f t="shared" si="15"/>
        <v>628211</v>
      </c>
      <c r="N52" s="23">
        <f t="shared" si="15"/>
        <v>620310</v>
      </c>
      <c r="O52" s="23">
        <f t="shared" si="15"/>
        <v>358955</v>
      </c>
      <c r="P52" s="17">
        <v>0</v>
      </c>
    </row>
    <row r="53" spans="1:17" s="82" customFormat="1" ht="18" customHeight="1">
      <c r="A53" s="54" t="s">
        <v>62</v>
      </c>
      <c r="B53" s="84"/>
      <c r="F53" s="83">
        <f>F54</f>
        <v>5178240</v>
      </c>
      <c r="G53" s="83">
        <f aca="true" t="shared" si="16" ref="G53:Q53">G54</f>
        <v>417759</v>
      </c>
      <c r="H53" s="83">
        <f t="shared" si="16"/>
        <v>666400</v>
      </c>
      <c r="I53" s="83">
        <f t="shared" si="16"/>
        <v>658499</v>
      </c>
      <c r="J53" s="83">
        <f t="shared" si="16"/>
        <v>650598</v>
      </c>
      <c r="K53" s="83">
        <f t="shared" si="16"/>
        <v>541396</v>
      </c>
      <c r="L53" s="83">
        <f t="shared" si="16"/>
        <v>636112</v>
      </c>
      <c r="M53" s="83">
        <f t="shared" si="16"/>
        <v>628211</v>
      </c>
      <c r="N53" s="83">
        <f t="shared" si="16"/>
        <v>620310</v>
      </c>
      <c r="O53" s="83">
        <f t="shared" si="16"/>
        <v>358955</v>
      </c>
      <c r="P53" s="19">
        <v>0</v>
      </c>
      <c r="Q53" s="83">
        <f t="shared" si="16"/>
        <v>0</v>
      </c>
    </row>
    <row r="54" spans="1:16" ht="38.25" customHeight="1">
      <c r="A54" s="153" t="s">
        <v>98</v>
      </c>
      <c r="B54" s="154"/>
      <c r="C54" s="24" t="s">
        <v>82</v>
      </c>
      <c r="D54" s="24">
        <v>2011</v>
      </c>
      <c r="E54" s="24">
        <v>2019</v>
      </c>
      <c r="F54" s="25">
        <f>SUM(G54:O54)</f>
        <v>5178240</v>
      </c>
      <c r="G54" s="25">
        <v>417759</v>
      </c>
      <c r="H54" s="25">
        <v>666400</v>
      </c>
      <c r="I54" s="25">
        <v>658499</v>
      </c>
      <c r="J54" s="25">
        <v>650598</v>
      </c>
      <c r="K54" s="25">
        <v>541396</v>
      </c>
      <c r="L54" s="24">
        <v>636112</v>
      </c>
      <c r="M54" s="24">
        <v>628211</v>
      </c>
      <c r="N54" s="25">
        <v>620310</v>
      </c>
      <c r="O54" s="25">
        <v>358955</v>
      </c>
      <c r="P54" s="17">
        <v>0</v>
      </c>
    </row>
    <row r="55" spans="7:11" ht="12.75">
      <c r="G55" s="25"/>
      <c r="H55" s="25"/>
      <c r="I55" s="25"/>
      <c r="J55" s="25"/>
      <c r="K55" s="25"/>
    </row>
    <row r="56" spans="7:11" ht="12.75">
      <c r="G56" s="25"/>
      <c r="H56" s="25"/>
      <c r="I56" s="25"/>
      <c r="J56" s="25"/>
      <c r="K56" s="25"/>
    </row>
    <row r="57" spans="7:11" ht="12.75">
      <c r="G57" s="25"/>
      <c r="H57" s="25"/>
      <c r="I57" s="25"/>
      <c r="J57" s="25"/>
      <c r="K57" s="25"/>
    </row>
    <row r="58" spans="7:11" ht="12.75">
      <c r="G58" s="25"/>
      <c r="H58" s="25"/>
      <c r="I58" s="25"/>
      <c r="J58" s="25"/>
      <c r="K58" s="25"/>
    </row>
    <row r="59" spans="7:11" ht="12.75">
      <c r="G59" s="25"/>
      <c r="H59" s="25"/>
      <c r="I59" s="25"/>
      <c r="J59" s="25"/>
      <c r="K59" s="25"/>
    </row>
    <row r="60" spans="7:11" ht="12.75">
      <c r="G60" s="25"/>
      <c r="H60" s="25"/>
      <c r="I60" s="25"/>
      <c r="J60" s="25"/>
      <c r="K60" s="25"/>
    </row>
    <row r="61" spans="7:11" ht="12.75">
      <c r="G61" s="25"/>
      <c r="H61" s="25"/>
      <c r="I61" s="25"/>
      <c r="J61" s="25"/>
      <c r="K61" s="25"/>
    </row>
    <row r="62" spans="7:11" ht="12.75">
      <c r="G62" s="25"/>
      <c r="H62" s="25"/>
      <c r="I62" s="25"/>
      <c r="J62" s="25"/>
      <c r="K62" s="25"/>
    </row>
    <row r="63" spans="7:11" ht="12.75">
      <c r="G63" s="25"/>
      <c r="H63" s="25"/>
      <c r="I63" s="25"/>
      <c r="J63" s="25"/>
      <c r="K63" s="25"/>
    </row>
    <row r="64" spans="7:11" ht="12.75">
      <c r="G64" s="25"/>
      <c r="H64" s="25"/>
      <c r="I64" s="25"/>
      <c r="J64" s="25"/>
      <c r="K64" s="25"/>
    </row>
    <row r="65" spans="7:11" ht="12.75">
      <c r="G65" s="25"/>
      <c r="H65" s="25"/>
      <c r="I65" s="25"/>
      <c r="J65" s="25"/>
      <c r="K65" s="25"/>
    </row>
    <row r="66" spans="7:11" ht="12.75">
      <c r="G66" s="25"/>
      <c r="H66" s="25"/>
      <c r="I66" s="25"/>
      <c r="J66" s="25"/>
      <c r="K66" s="25"/>
    </row>
    <row r="67" spans="7:11" ht="12.75">
      <c r="G67" s="25"/>
      <c r="H67" s="25"/>
      <c r="I67" s="25"/>
      <c r="J67" s="25"/>
      <c r="K67" s="25"/>
    </row>
    <row r="68" spans="7:11" ht="12.75">
      <c r="G68" s="25"/>
      <c r="H68" s="25"/>
      <c r="I68" s="25"/>
      <c r="J68" s="25"/>
      <c r="K68" s="25"/>
    </row>
    <row r="69" spans="7:11" ht="12.75">
      <c r="G69" s="25"/>
      <c r="H69" s="25"/>
      <c r="I69" s="25"/>
      <c r="J69" s="25"/>
      <c r="K69" s="25"/>
    </row>
    <row r="70" spans="7:11" ht="12.75">
      <c r="G70" s="25"/>
      <c r="H70" s="25"/>
      <c r="I70" s="25"/>
      <c r="J70" s="25"/>
      <c r="K70" s="25"/>
    </row>
    <row r="71" spans="7:11" ht="12.75">
      <c r="G71" s="25"/>
      <c r="H71" s="25"/>
      <c r="I71" s="25"/>
      <c r="J71" s="25"/>
      <c r="K71" s="25"/>
    </row>
    <row r="72" spans="7:11" ht="12.75">
      <c r="G72" s="25"/>
      <c r="H72" s="25"/>
      <c r="I72" s="25"/>
      <c r="J72" s="25"/>
      <c r="K72" s="25"/>
    </row>
    <row r="73" spans="7:11" ht="12.75">
      <c r="G73" s="25"/>
      <c r="H73" s="25"/>
      <c r="I73" s="25"/>
      <c r="J73" s="25"/>
      <c r="K73" s="25"/>
    </row>
    <row r="74" spans="7:11" ht="12.75">
      <c r="G74" s="25"/>
      <c r="H74" s="25"/>
      <c r="I74" s="25"/>
      <c r="J74" s="25"/>
      <c r="K74" s="25"/>
    </row>
    <row r="75" spans="7:11" ht="12.75">
      <c r="G75" s="25"/>
      <c r="H75" s="25"/>
      <c r="I75" s="25"/>
      <c r="J75" s="25"/>
      <c r="K75" s="25"/>
    </row>
    <row r="76" spans="7:11" ht="12.75">
      <c r="G76" s="25"/>
      <c r="H76" s="25"/>
      <c r="I76" s="25"/>
      <c r="J76" s="25"/>
      <c r="K76" s="25"/>
    </row>
    <row r="77" spans="7:11" ht="12.75">
      <c r="G77" s="25"/>
      <c r="H77" s="25"/>
      <c r="I77" s="25"/>
      <c r="J77" s="25"/>
      <c r="K77" s="25"/>
    </row>
    <row r="78" spans="7:11" ht="12.75">
      <c r="G78" s="25"/>
      <c r="H78" s="25"/>
      <c r="I78" s="25"/>
      <c r="J78" s="25"/>
      <c r="K78" s="25"/>
    </row>
    <row r="79" spans="7:11" ht="12.75">
      <c r="G79" s="25"/>
      <c r="H79" s="25"/>
      <c r="I79" s="25"/>
      <c r="J79" s="25"/>
      <c r="K79" s="25"/>
    </row>
    <row r="80" spans="7:11" ht="12.75">
      <c r="G80" s="25"/>
      <c r="H80" s="25"/>
      <c r="I80" s="25"/>
      <c r="J80" s="25"/>
      <c r="K80" s="25"/>
    </row>
    <row r="81" spans="7:11" ht="12.75">
      <c r="G81" s="25"/>
      <c r="H81" s="25"/>
      <c r="I81" s="25"/>
      <c r="J81" s="25"/>
      <c r="K81" s="25"/>
    </row>
    <row r="82" spans="7:11" ht="12.75">
      <c r="G82" s="25"/>
      <c r="H82" s="25"/>
      <c r="I82" s="25"/>
      <c r="J82" s="25"/>
      <c r="K82" s="25"/>
    </row>
    <row r="83" spans="7:11" ht="12.75">
      <c r="G83" s="25"/>
      <c r="H83" s="25"/>
      <c r="I83" s="25"/>
      <c r="J83" s="25"/>
      <c r="K83" s="25"/>
    </row>
    <row r="84" spans="7:11" ht="12.75">
      <c r="G84" s="25"/>
      <c r="H84" s="25"/>
      <c r="I84" s="25"/>
      <c r="J84" s="25"/>
      <c r="K84" s="25"/>
    </row>
    <row r="85" spans="7:11" ht="12.75">
      <c r="G85" s="25"/>
      <c r="H85" s="25"/>
      <c r="I85" s="25"/>
      <c r="J85" s="25"/>
      <c r="K85" s="25"/>
    </row>
    <row r="86" spans="7:11" ht="12.75">
      <c r="G86" s="25"/>
      <c r="H86" s="25"/>
      <c r="I86" s="25"/>
      <c r="J86" s="25"/>
      <c r="K86" s="25"/>
    </row>
    <row r="87" spans="7:11" ht="12.75">
      <c r="G87" s="25"/>
      <c r="H87" s="25"/>
      <c r="I87" s="25"/>
      <c r="J87" s="25"/>
      <c r="K87" s="25"/>
    </row>
    <row r="88" spans="7:11" ht="12.75">
      <c r="G88" s="25"/>
      <c r="H88" s="25"/>
      <c r="I88" s="25"/>
      <c r="J88" s="25"/>
      <c r="K88" s="25"/>
    </row>
    <row r="89" spans="7:11" ht="12.75">
      <c r="G89" s="25"/>
      <c r="H89" s="25"/>
      <c r="I89" s="25"/>
      <c r="J89" s="25"/>
      <c r="K89" s="25"/>
    </row>
    <row r="90" spans="7:11" ht="12.75">
      <c r="G90" s="25"/>
      <c r="H90" s="25"/>
      <c r="I90" s="25"/>
      <c r="J90" s="25"/>
      <c r="K90" s="25"/>
    </row>
    <row r="91" spans="7:11" ht="12.75">
      <c r="G91" s="25"/>
      <c r="H91" s="25"/>
      <c r="I91" s="25"/>
      <c r="J91" s="25"/>
      <c r="K91" s="25"/>
    </row>
    <row r="92" spans="7:11" ht="12.75">
      <c r="G92" s="25"/>
      <c r="H92" s="25"/>
      <c r="I92" s="25"/>
      <c r="J92" s="25"/>
      <c r="K92" s="25"/>
    </row>
    <row r="93" spans="7:11" ht="12.75">
      <c r="G93" s="25"/>
      <c r="H93" s="25"/>
      <c r="I93" s="25"/>
      <c r="J93" s="25"/>
      <c r="K93" s="25"/>
    </row>
    <row r="94" spans="7:11" ht="12.75">
      <c r="G94" s="25"/>
      <c r="H94" s="25"/>
      <c r="I94" s="25"/>
      <c r="J94" s="25"/>
      <c r="K94" s="25"/>
    </row>
    <row r="95" spans="7:11" ht="12.75">
      <c r="G95" s="25"/>
      <c r="H95" s="25"/>
      <c r="I95" s="25"/>
      <c r="J95" s="25"/>
      <c r="K95" s="25"/>
    </row>
    <row r="96" spans="7:11" ht="12.75">
      <c r="G96" s="25"/>
      <c r="H96" s="25"/>
      <c r="I96" s="25"/>
      <c r="J96" s="25"/>
      <c r="K96" s="25"/>
    </row>
    <row r="97" spans="7:11" ht="12.75">
      <c r="G97" s="25"/>
      <c r="H97" s="25"/>
      <c r="I97" s="25"/>
      <c r="J97" s="25"/>
      <c r="K97" s="25"/>
    </row>
    <row r="98" spans="7:11" ht="12.75">
      <c r="G98" s="25"/>
      <c r="H98" s="25"/>
      <c r="I98" s="25"/>
      <c r="J98" s="25"/>
      <c r="K98" s="25"/>
    </row>
    <row r="99" spans="7:11" ht="12.75">
      <c r="G99" s="25"/>
      <c r="H99" s="25"/>
      <c r="I99" s="25"/>
      <c r="J99" s="25"/>
      <c r="K99" s="25"/>
    </row>
    <row r="100" spans="7:11" ht="12.75">
      <c r="G100" s="25"/>
      <c r="H100" s="25"/>
      <c r="I100" s="25"/>
      <c r="J100" s="25"/>
      <c r="K100" s="25"/>
    </row>
    <row r="101" spans="7:11" ht="12.75">
      <c r="G101" s="25"/>
      <c r="H101" s="25"/>
      <c r="I101" s="25"/>
      <c r="J101" s="25"/>
      <c r="K101" s="25"/>
    </row>
    <row r="102" spans="7:11" ht="12.75">
      <c r="G102" s="25"/>
      <c r="H102" s="25"/>
      <c r="I102" s="25"/>
      <c r="J102" s="25"/>
      <c r="K102" s="25"/>
    </row>
    <row r="103" spans="7:11" ht="12.75">
      <c r="G103" s="25"/>
      <c r="H103" s="25"/>
      <c r="I103" s="25"/>
      <c r="J103" s="25"/>
      <c r="K103" s="25"/>
    </row>
    <row r="104" spans="7:11" ht="12.75">
      <c r="G104" s="25"/>
      <c r="H104" s="25"/>
      <c r="I104" s="25"/>
      <c r="J104" s="25"/>
      <c r="K104" s="25"/>
    </row>
    <row r="105" spans="7:11" ht="12.75">
      <c r="G105" s="25"/>
      <c r="H105" s="25"/>
      <c r="I105" s="25"/>
      <c r="J105" s="25"/>
      <c r="K105" s="25"/>
    </row>
    <row r="106" spans="7:11" ht="12.75">
      <c r="G106" s="25"/>
      <c r="H106" s="25"/>
      <c r="I106" s="25"/>
      <c r="J106" s="25"/>
      <c r="K106" s="25"/>
    </row>
    <row r="107" spans="7:11" ht="12.75">
      <c r="G107" s="25"/>
      <c r="H107" s="25"/>
      <c r="I107" s="25"/>
      <c r="J107" s="25"/>
      <c r="K107" s="25"/>
    </row>
    <row r="108" spans="7:11" ht="12.75">
      <c r="G108" s="25"/>
      <c r="H108" s="25"/>
      <c r="I108" s="25"/>
      <c r="J108" s="25"/>
      <c r="K108" s="25"/>
    </row>
    <row r="109" spans="7:11" ht="12.75">
      <c r="G109" s="25"/>
      <c r="H109" s="25"/>
      <c r="I109" s="25"/>
      <c r="J109" s="25"/>
      <c r="K109" s="25"/>
    </row>
    <row r="110" spans="7:11" ht="12.75">
      <c r="G110" s="25"/>
      <c r="H110" s="25"/>
      <c r="I110" s="25"/>
      <c r="J110" s="25"/>
      <c r="K110" s="25"/>
    </row>
    <row r="111" spans="7:11" ht="12.75">
      <c r="G111" s="25"/>
      <c r="H111" s="25"/>
      <c r="I111" s="25"/>
      <c r="J111" s="25"/>
      <c r="K111" s="25"/>
    </row>
    <row r="112" spans="7:11" ht="12.75">
      <c r="G112" s="25"/>
      <c r="H112" s="25"/>
      <c r="I112" s="25"/>
      <c r="J112" s="25"/>
      <c r="K112" s="25"/>
    </row>
    <row r="113" spans="7:11" ht="12.75">
      <c r="G113" s="25"/>
      <c r="H113" s="25"/>
      <c r="I113" s="25"/>
      <c r="J113" s="25"/>
      <c r="K113" s="25"/>
    </row>
    <row r="114" spans="7:11" ht="12.75">
      <c r="G114" s="25"/>
      <c r="H114" s="25"/>
      <c r="I114" s="25"/>
      <c r="J114" s="25"/>
      <c r="K114" s="25"/>
    </row>
    <row r="115" spans="7:11" ht="12.75">
      <c r="G115" s="25"/>
      <c r="H115" s="25"/>
      <c r="I115" s="25"/>
      <c r="J115" s="25"/>
      <c r="K115" s="25"/>
    </row>
    <row r="116" spans="7:11" ht="12.75">
      <c r="G116" s="25"/>
      <c r="H116" s="25"/>
      <c r="I116" s="25"/>
      <c r="J116" s="25"/>
      <c r="K116" s="25"/>
    </row>
    <row r="117" spans="7:11" ht="12.75">
      <c r="G117" s="25"/>
      <c r="H117" s="25"/>
      <c r="I117" s="25"/>
      <c r="J117" s="25"/>
      <c r="K117" s="25"/>
    </row>
    <row r="118" spans="7:11" ht="12.75">
      <c r="G118" s="25"/>
      <c r="H118" s="25"/>
      <c r="I118" s="25"/>
      <c r="J118" s="25"/>
      <c r="K118" s="25"/>
    </row>
    <row r="119" spans="7:11" ht="12.75">
      <c r="G119" s="25"/>
      <c r="H119" s="25"/>
      <c r="I119" s="25"/>
      <c r="J119" s="25"/>
      <c r="K119" s="25"/>
    </row>
    <row r="120" spans="7:11" ht="12.75">
      <c r="G120" s="25"/>
      <c r="H120" s="25"/>
      <c r="I120" s="25"/>
      <c r="J120" s="25"/>
      <c r="K120" s="25"/>
    </row>
  </sheetData>
  <sheetProtection/>
  <mergeCells count="51">
    <mergeCell ref="A29:B29"/>
    <mergeCell ref="A18:B18"/>
    <mergeCell ref="P2:P3"/>
    <mergeCell ref="A39:B39"/>
    <mergeCell ref="A51:B51"/>
    <mergeCell ref="A54:B54"/>
    <mergeCell ref="A17:B17"/>
    <mergeCell ref="A35:B35"/>
    <mergeCell ref="A36:B36"/>
    <mergeCell ref="A37:B37"/>
    <mergeCell ref="A38:B38"/>
    <mergeCell ref="A31:B31"/>
    <mergeCell ref="A26:B26"/>
    <mergeCell ref="A27:B27"/>
    <mergeCell ref="A28:B28"/>
    <mergeCell ref="A25:B25"/>
    <mergeCell ref="J2:J3"/>
    <mergeCell ref="A12:B12"/>
    <mergeCell ref="A13:B13"/>
    <mergeCell ref="A14:B14"/>
    <mergeCell ref="A10:C10"/>
    <mergeCell ref="A19:B19"/>
    <mergeCell ref="D15:D16"/>
    <mergeCell ref="I2:I3"/>
    <mergeCell ref="E15:E16"/>
    <mergeCell ref="C15:C16"/>
    <mergeCell ref="A16:B16"/>
    <mergeCell ref="A15:B15"/>
    <mergeCell ref="D2:E2"/>
    <mergeCell ref="C2:C3"/>
    <mergeCell ref="A2:B3"/>
    <mergeCell ref="A52:C52"/>
    <mergeCell ref="A30:B30"/>
    <mergeCell ref="A20:B20"/>
    <mergeCell ref="A21:B21"/>
    <mergeCell ref="A22:B22"/>
    <mergeCell ref="A23:B23"/>
    <mergeCell ref="A24:B24"/>
    <mergeCell ref="A32:B32"/>
    <mergeCell ref="A34:B34"/>
    <mergeCell ref="A33:C33"/>
    <mergeCell ref="N1:P1"/>
    <mergeCell ref="A1:M1"/>
    <mergeCell ref="L2:L3"/>
    <mergeCell ref="M2:M3"/>
    <mergeCell ref="N2:N3"/>
    <mergeCell ref="O2:O3"/>
    <mergeCell ref="F2:F3"/>
    <mergeCell ref="K2:K3"/>
    <mergeCell ref="G2:G3"/>
    <mergeCell ref="H2:H3"/>
  </mergeCells>
  <printOptions/>
  <pageMargins left="0.35" right="0.28" top="0.31" bottom="0.19" header="0.22" footer="0.28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Hażlach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</dc:creator>
  <cp:keywords/>
  <dc:description/>
  <cp:lastModifiedBy>acholewa</cp:lastModifiedBy>
  <cp:lastPrinted>2011-06-03T06:49:20Z</cp:lastPrinted>
  <dcterms:created xsi:type="dcterms:W3CDTF">2010-11-01T05:10:48Z</dcterms:created>
  <dcterms:modified xsi:type="dcterms:W3CDTF">2011-06-06T12:06:33Z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-1195647901</vt:i4>
  </property>
  <property fmtid="{D5CDD505-2E9C-101B-9397-08002B2CF9AE}" pid="3" name="_NewReviewCycle">
    <vt:lpwstr/>
  </property>
  <property fmtid="{D5CDD505-2E9C-101B-9397-08002B2CF9AE}" pid="4" name="_EmailSubject">
    <vt:lpwstr>WPF</vt:lpwstr>
  </property>
  <property fmtid="{D5CDD505-2E9C-101B-9397-08002B2CF9AE}" pid="5" name="_AuthorEmail">
    <vt:lpwstr>fn@hazlach.pl</vt:lpwstr>
  </property>
  <property fmtid="{D5CDD505-2E9C-101B-9397-08002B2CF9AE}" pid="6" name="_AuthorEmailDisplayName">
    <vt:lpwstr>FN UG Hażlach</vt:lpwstr>
  </property>
  <property fmtid="{D5CDD505-2E9C-101B-9397-08002B2CF9AE}" pid="7" name="_ReviewingToolsShownOnce">
    <vt:lpwstr/>
  </property>
</Properties>
</file>