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stas\Desktop\"/>
    </mc:Choice>
  </mc:AlternateContent>
  <bookViews>
    <workbookView xWindow="0" yWindow="0" windowWidth="21600" windowHeight="9510"/>
  </bookViews>
  <sheets>
    <sheet name="Załącznik 1" sheetId="1" r:id="rId1"/>
  </sheets>
  <calcPr calcId="162913"/>
</workbook>
</file>

<file path=xl/calcChain.xml><?xml version="1.0" encoding="utf-8"?>
<calcChain xmlns="http://schemas.openxmlformats.org/spreadsheetml/2006/main">
  <c r="Q104" i="1" l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F57" i="1"/>
  <c r="E57" i="1"/>
  <c r="D57" i="1"/>
  <c r="C57" i="1"/>
  <c r="F56" i="1"/>
  <c r="E56" i="1"/>
  <c r="D56" i="1"/>
  <c r="C56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7" i="1"/>
  <c r="P27" i="1"/>
  <c r="O27" i="1"/>
  <c r="N27" i="1"/>
  <c r="M27" i="1"/>
  <c r="M17" i="1" s="1"/>
  <c r="L27" i="1"/>
  <c r="K27" i="1"/>
  <c r="J27" i="1"/>
  <c r="I27" i="1"/>
  <c r="H27" i="1"/>
  <c r="G27" i="1"/>
  <c r="F27" i="1"/>
  <c r="E27" i="1"/>
  <c r="E17" i="1" s="1"/>
  <c r="D27" i="1"/>
  <c r="C27" i="1"/>
  <c r="Q18" i="1"/>
  <c r="P18" i="1"/>
  <c r="P17" i="1" s="1"/>
  <c r="O18" i="1"/>
  <c r="N18" i="1"/>
  <c r="N17" i="1" s="1"/>
  <c r="M18" i="1"/>
  <c r="L18" i="1"/>
  <c r="L17" i="1" s="1"/>
  <c r="K18" i="1"/>
  <c r="J18" i="1"/>
  <c r="J17" i="1" s="1"/>
  <c r="I18" i="1"/>
  <c r="H18" i="1"/>
  <c r="H17" i="1" s="1"/>
  <c r="G18" i="1"/>
  <c r="F18" i="1"/>
  <c r="F17" i="1" s="1"/>
  <c r="E18" i="1"/>
  <c r="D18" i="1"/>
  <c r="D17" i="1" s="1"/>
  <c r="C18" i="1"/>
  <c r="Q17" i="1"/>
  <c r="O17" i="1"/>
  <c r="I17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5" i="1"/>
  <c r="P5" i="1"/>
  <c r="P48" i="1" s="1"/>
  <c r="O5" i="1"/>
  <c r="O49" i="1" s="1"/>
  <c r="N5" i="1"/>
  <c r="N48" i="1" s="1"/>
  <c r="M5" i="1"/>
  <c r="L5" i="1"/>
  <c r="L48" i="1" s="1"/>
  <c r="K5" i="1"/>
  <c r="K48" i="1" s="1"/>
  <c r="J5" i="1"/>
  <c r="J48" i="1" s="1"/>
  <c r="I5" i="1"/>
  <c r="H5" i="1"/>
  <c r="H48" i="1" s="1"/>
  <c r="G5" i="1"/>
  <c r="G48" i="1" s="1"/>
  <c r="F5" i="1"/>
  <c r="F48" i="1" s="1"/>
  <c r="E5" i="1"/>
  <c r="D5" i="1"/>
  <c r="D48" i="1" s="1"/>
  <c r="C5" i="1"/>
  <c r="C48" i="1" s="1"/>
  <c r="P4" i="1"/>
  <c r="P51" i="1" s="1"/>
  <c r="H4" i="1" l="1"/>
  <c r="H51" i="1" s="1"/>
  <c r="C17" i="1"/>
  <c r="G17" i="1"/>
  <c r="K17" i="1"/>
  <c r="D4" i="1"/>
  <c r="D51" i="1" s="1"/>
  <c r="L4" i="1"/>
  <c r="L51" i="1" s="1"/>
  <c r="F4" i="1"/>
  <c r="F51" i="1" s="1"/>
  <c r="J4" i="1"/>
  <c r="J51" i="1" s="1"/>
  <c r="N4" i="1"/>
  <c r="N51" i="1" s="1"/>
  <c r="F54" i="1"/>
  <c r="F58" i="1" s="1"/>
  <c r="N54" i="1"/>
  <c r="D28" i="1"/>
  <c r="F28" i="1"/>
  <c r="H28" i="1"/>
  <c r="J28" i="1"/>
  <c r="N28" i="1"/>
  <c r="P28" i="1"/>
  <c r="C49" i="1"/>
  <c r="G49" i="1"/>
  <c r="K49" i="1"/>
  <c r="C4" i="1"/>
  <c r="C54" i="1" s="1"/>
  <c r="E4" i="1"/>
  <c r="G4" i="1"/>
  <c r="G54" i="1" s="1"/>
  <c r="I4" i="1"/>
  <c r="K4" i="1"/>
  <c r="K54" i="1" s="1"/>
  <c r="M4" i="1"/>
  <c r="O4" i="1"/>
  <c r="O54" i="1" s="1"/>
  <c r="Q4" i="1"/>
  <c r="D55" i="1"/>
  <c r="D49" i="1"/>
  <c r="F55" i="1"/>
  <c r="F49" i="1"/>
  <c r="H55" i="1"/>
  <c r="H49" i="1"/>
  <c r="J49" i="1"/>
  <c r="L49" i="1"/>
  <c r="N55" i="1"/>
  <c r="N49" i="1"/>
  <c r="P55" i="1"/>
  <c r="P49" i="1"/>
  <c r="D52" i="1"/>
  <c r="F52" i="1"/>
  <c r="H52" i="1"/>
  <c r="J52" i="1"/>
  <c r="N52" i="1"/>
  <c r="P52" i="1"/>
  <c r="E48" i="1"/>
  <c r="I48" i="1"/>
  <c r="M48" i="1"/>
  <c r="O48" i="1"/>
  <c r="Q48" i="1"/>
  <c r="E49" i="1"/>
  <c r="I49" i="1"/>
  <c r="M49" i="1"/>
  <c r="Q49" i="1"/>
  <c r="C52" i="1"/>
  <c r="G52" i="1"/>
  <c r="K52" i="1"/>
  <c r="D54" i="1"/>
  <c r="H54" i="1"/>
  <c r="L54" i="1"/>
  <c r="P54" i="1"/>
  <c r="L52" i="1" l="1"/>
  <c r="L55" i="1"/>
  <c r="J55" i="1"/>
  <c r="L28" i="1"/>
  <c r="J54" i="1"/>
  <c r="O52" i="1"/>
  <c r="F59" i="1"/>
  <c r="C59" i="1"/>
  <c r="C58" i="1"/>
  <c r="Q51" i="1"/>
  <c r="Q28" i="1"/>
  <c r="M51" i="1"/>
  <c r="M28" i="1"/>
  <c r="I51" i="1"/>
  <c r="I28" i="1"/>
  <c r="E51" i="1"/>
  <c r="E28" i="1"/>
  <c r="O55" i="1"/>
  <c r="Q57" i="1" s="1"/>
  <c r="G55" i="1"/>
  <c r="I57" i="1" s="1"/>
  <c r="Q52" i="1"/>
  <c r="I52" i="1"/>
  <c r="N60" i="1"/>
  <c r="N113" i="1"/>
  <c r="N61" i="1"/>
  <c r="J60" i="1"/>
  <c r="J113" i="1"/>
  <c r="J61" i="1"/>
  <c r="F60" i="1"/>
  <c r="F113" i="1"/>
  <c r="F61" i="1"/>
  <c r="Q55" i="1"/>
  <c r="I55" i="1"/>
  <c r="D58" i="1"/>
  <c r="D59" i="1"/>
  <c r="Q56" i="1"/>
  <c r="O51" i="1"/>
  <c r="O28" i="1"/>
  <c r="K51" i="1"/>
  <c r="K28" i="1"/>
  <c r="G51" i="1"/>
  <c r="G28" i="1"/>
  <c r="C51" i="1"/>
  <c r="C28" i="1"/>
  <c r="K55" i="1"/>
  <c r="M57" i="1" s="1"/>
  <c r="C55" i="1"/>
  <c r="M52" i="1"/>
  <c r="E52" i="1"/>
  <c r="Q54" i="1"/>
  <c r="M54" i="1"/>
  <c r="I54" i="1"/>
  <c r="E54" i="1"/>
  <c r="P60" i="1"/>
  <c r="P113" i="1"/>
  <c r="P61" i="1"/>
  <c r="L60" i="1"/>
  <c r="L113" i="1"/>
  <c r="L61" i="1"/>
  <c r="H60" i="1"/>
  <c r="H113" i="1"/>
  <c r="H61" i="1"/>
  <c r="D60" i="1"/>
  <c r="D113" i="1"/>
  <c r="D61" i="1"/>
  <c r="M55" i="1"/>
  <c r="E55" i="1"/>
  <c r="I56" i="1" l="1"/>
  <c r="H57" i="1"/>
  <c r="H59" i="1" s="1"/>
  <c r="K57" i="1"/>
  <c r="K59" i="1" s="1"/>
  <c r="K56" i="1"/>
  <c r="K58" i="1" s="1"/>
  <c r="H56" i="1"/>
  <c r="H58" i="1" s="1"/>
  <c r="P56" i="1"/>
  <c r="P58" i="1" s="1"/>
  <c r="P57" i="1"/>
  <c r="P59" i="1" s="1"/>
  <c r="I59" i="1"/>
  <c r="I58" i="1"/>
  <c r="M56" i="1"/>
  <c r="M58" i="1" s="1"/>
  <c r="O56" i="1"/>
  <c r="O58" i="1" s="1"/>
  <c r="E59" i="1"/>
  <c r="E58" i="1"/>
  <c r="M59" i="1"/>
  <c r="G57" i="1"/>
  <c r="G59" i="1" s="1"/>
  <c r="G56" i="1"/>
  <c r="G58" i="1" s="1"/>
  <c r="C113" i="1"/>
  <c r="C61" i="1"/>
  <c r="C60" i="1"/>
  <c r="G113" i="1"/>
  <c r="G61" i="1"/>
  <c r="G60" i="1"/>
  <c r="K113" i="1"/>
  <c r="K61" i="1"/>
  <c r="K60" i="1"/>
  <c r="O113" i="1"/>
  <c r="O61" i="1"/>
  <c r="O60" i="1"/>
  <c r="O57" i="1"/>
  <c r="O59" i="1" s="1"/>
  <c r="J56" i="1"/>
  <c r="J58" i="1" s="1"/>
  <c r="J57" i="1"/>
  <c r="J59" i="1" s="1"/>
  <c r="E113" i="1"/>
  <c r="E61" i="1"/>
  <c r="E60" i="1"/>
  <c r="I113" i="1"/>
  <c r="I61" i="1"/>
  <c r="I60" i="1"/>
  <c r="M113" i="1"/>
  <c r="M61" i="1"/>
  <c r="M60" i="1"/>
  <c r="Q113" i="1"/>
  <c r="Q61" i="1"/>
  <c r="Q60" i="1"/>
  <c r="Q59" i="1"/>
  <c r="Q58" i="1"/>
  <c r="N56" i="1"/>
  <c r="N58" i="1" s="1"/>
  <c r="N57" i="1"/>
  <c r="N59" i="1" s="1"/>
  <c r="L56" i="1"/>
  <c r="L58" i="1" s="1"/>
  <c r="L57" i="1"/>
  <c r="L59" i="1" s="1"/>
</calcChain>
</file>

<file path=xl/sharedStrings.xml><?xml version="1.0" encoding="utf-8"?>
<sst xmlns="http://schemas.openxmlformats.org/spreadsheetml/2006/main" count="352" uniqueCount="228">
  <si>
    <t>Lp.</t>
  </si>
  <si>
    <t>Wyszczególnienie</t>
  </si>
  <si>
    <t>2014</t>
  </si>
  <si>
    <t>2015</t>
  </si>
  <si>
    <t>2016 3kw.</t>
  </si>
  <si>
    <t>2016 pw.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</si>
  <si>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</si>
  <si>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</si>
  <si>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</si>
  <si>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</si>
  <si>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</si>
  <si>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</si>
  <si>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</si>
  <si>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</si>
  <si>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</si>
  <si>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</si>
  <si>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</si>
  <si>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1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</si>
  <si>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</si>
  <si>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</si>
  <si>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</si>
  <si>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</si>
  <si>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</si>
  <si>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</si>
  <si>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</si>
  <si>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</si>
  <si>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</si>
  <si>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</si>
  <si>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</si>
  <si>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</si>
  <si>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</si>
  <si>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</si>
  <si>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</si>
  <si>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1.1.x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</si>
  <si>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</si>
  <si>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</si>
  <si>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</si>
  <si>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</si>
  <si>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</si>
  <si>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</si>
  <si>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</si>
  <si>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</si>
  <si>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</si>
  <si>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</si>
  <si>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</si>
  <si>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</si>
  <si>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</si>
  <si>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</si>
  <si>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</si>
  <si>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</si>
  <si>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</si>
  <si>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</si>
  <si>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/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</si>
  <si>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</si>
  <si>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</si>
  <si>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</si>
  <si>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</si>
  <si>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</si>
  <si>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</si>
  <si>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</si>
  <si>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</si>
  <si>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2.1.x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</si>
  <si>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</si>
  <si>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</si>
  <si>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</si>
  <si>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</si>
  <si>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</si>
  <si>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</si>
  <si>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</si>
  <si>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</si>
  <si>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</si>
  <si>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</si>
  <si>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</si>
  <si>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</si>
  <si>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</si>
  <si>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</si>
  <si>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</si>
  <si>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</si>
  <si>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</si>
  <si>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</si>
  <si>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</si>
  <si>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</si>
  <si>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</si>
  <si>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</si>
  <si>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</si>
  <si>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</si>
  <si>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</si>
  <si>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</si>
  <si>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</si>
  <si>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</si>
  <si>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</si>
  <si>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</si>
  <si>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</si>
  <si>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</si>
  <si>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</si>
  <si>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</si>
  <si>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</si>
  <si>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</si>
  <si>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</si>
  <si>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</si>
  <si>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</si>
  <si>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</si>
  <si>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</si>
  <si>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</si>
  <si>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</si>
  <si>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</t>
  </si>
  <si>
    <t>Wskaźnik spłaty zobowiązań</t>
  </si>
  <si>
    <t>9.1</t>
  </si>
  <si>
    <t>Wskaźnik planowanej łącznej kwoty spłaty zobowiązań, o której mowa w art. 243 ust. 1 ustawy, do dochodów, bez uwzględnienia zobowiązań związku współtworzonego przez jednostkę samorządu terytorialnego i bez uwzględniania ustawowych wyłączeń przypadających na dany rok</t>
  </si>
  <si>
    <t>9.2</t>
  </si>
  <si>
    <t>Wskaźnik planowanej łącznej kwoty spłaty zobowiązań, o której mowa w art. 243 ust. 1 ustawy, do dochodów, bez uwzględnienia zobowiązań związku współtworzonego przez jednostkę samorządu terytorialnego, po uwzględnieniu ustawowych wyłączeń przypadających na dany rok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</si>
  <si>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</si>
  <si>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</si>
  <si>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</si>
  <si>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ustawy,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</si>
  <si>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</si>
  <si>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</si>
  <si>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</si>
  <si>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>Dopuszczalny wskaźnik spłaty zobowiązań określony w art. 243 ustawy, po uwzględnieniu ustawowych wyłączeń, obliczony w oparciu o plan 3 kwartu roku poprzedzającego pierwszy rok prognozy (wskaźnik ustalony w oparciu o średnią arytmetyczną z 3 poprzednich lat)</t>
  </si>
  <si>
    <t>9.6.1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</si>
  <si>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</si>
  <si>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</si>
  <si>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</si>
  <si>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</si>
  <si>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</si>
  <si>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</t>
  </si>
  <si>
    <t>Przeznaczenie prognozowanej nadwyżki budżetowej,  w tym na:</t>
  </si>
  <si>
    <t>10.1</t>
  </si>
  <si>
    <t>Spłaty kredytów, pożyczek i wykup papierów wartościowych</t>
  </si>
  <si>
    <t>11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</si>
  <si>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</si>
  <si>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</si>
  <si>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</si>
  <si>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</si>
  <si>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</si>
  <si>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</si>
  <si>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</si>
  <si>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</si>
  <si>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</si>
  <si>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</si>
  <si>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</si>
  <si>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</si>
  <si>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</si>
  <si>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</si>
  <si>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</si>
  <si>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</si>
  <si>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</si>
  <si>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11.x</t>
  </si>
  <si>
    <t>12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</si>
  <si>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</si>
  <si>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</si>
  <si>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</si>
  <si>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</si>
  <si>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-  w tym środki określone w art. 5 ust. 1 pkt 2 ustawy</t>
  </si>
  <si>
    <t>12.1.1.1</t>
  </si>
  <si>
    <t>- w tym środki określone w art. 5 ust. 1 pkt 2 ustawy wynikające wyłącznie z  zawartych umów na realizację programu, projektu lub zadania</t>
  </si>
  <si>
    <t>12.2</t>
  </si>
  <si>
    <t>Dochody majątkowe  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</si>
  <si>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</si>
  <si>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</si>
  <si>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</si>
  <si>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</si>
  <si>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</si>
  <si>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</si>
  <si>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>-  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</si>
  <si>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</si>
  <si>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</si>
  <si>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</si>
  <si>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</si>
  <si>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</si>
  <si>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</si>
  <si>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>Wydatki majątkowe na realizację programu, projektu lub zadania wynikające wyłącznie z zawartych umów z podmiotem dysponującym środkami, o których mowa w art. 5 ust. 1 pkt 2 ustawy</t>
  </si>
  <si>
    <t>12.5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</si>
  <si>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</si>
  <si>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12.5.1</t>
  </si>
  <si>
    <t xml:space="preserve"> - 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</si>
  <si>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</si>
  <si>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</si>
  <si>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</si>
  <si>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</si>
  <si>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</si>
  <si>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</si>
  <si>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</si>
  <si>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umowa na realizację programu, projektu lub zadania finansowanego w co najmniej 60% środkami, o których mowa w art. 5 ust. 1 pkt 2 ustawy</t>
  </si>
  <si>
    <t>12.8.1</t>
  </si>
  <si>
    <t>13</t>
  </si>
  <si>
    <t>Kwoty dotyczące przejęcia i spłaty zobowiązań po samodzielnych publicznych zakładach opieki zdrowotnej oraz pokrycia ujemnego wyniku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</si>
  <si>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</si>
  <si>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</si>
  <si>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</si>
  <si>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 z 2013 r. poz. 217,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</si>
  <si>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</si>
  <si>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</si>
  <si>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</si>
  <si>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 o działalności leczniczej</t>
  </si>
  <si>
    <t>13.5</t>
  </si>
  <si>
    <t>Wydatki na spłatę przejętych zobowiązań samodzielnego publicznego zakładu opieki zdrowotnej likwidowanego na zasadach określonych w przepisach  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</si>
  <si>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</si>
  <si>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</si>
  <si>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</si>
  <si>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</si>
  <si>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14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</si>
  <si>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</si>
  <si>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</si>
  <si>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</si>
  <si>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</si>
  <si>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</si>
  <si>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</si>
  <si>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</si>
  <si>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</si>
  <si>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</si>
  <si>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</si>
  <si>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</si>
  <si>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</si>
  <si>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</si>
  <si>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</si>
  <si>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</si>
  <si>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15</t>
  </si>
  <si>
    <t>Dane dotyczące emitowanych obligacji przychodowych</t>
  </si>
  <si>
    <t>15.1</t>
  </si>
  <si>
    <t>Środki z przedsięwzięcia gromadzone na rachunku bankowym, w tym:</t>
  </si>
  <si>
    <t>15.1.1</t>
  </si>
  <si>
    <t>środki na zaspokojenie roszczeń obligatariuszy</t>
  </si>
  <si>
    <t>15.2</t>
  </si>
  <si>
    <t>Wydatki bieżące z tytułu świadczenia emitenta należnego obligatariuszom, nieuwzględniane w limicie spłaty zobowiązań, o którym mowa w art. 243 ustawy</t>
  </si>
  <si>
    <t>17</t>
  </si>
  <si>
    <t>Rozliczenie budżetu</t>
  </si>
  <si>
    <t>Wieloletnia Prognoza Finansowa Powiatu Cieszyńskiego - Zał.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</si>
</sst>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8"/>
      <color rgb="FFFF0000"/>
      <name val="Times New Roman"/>
    </font>
    <font>
      <b/>
      <sz val="14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0" borderId="1" xfId="0" applyFont="1" applyFill="1" applyBorder="1"/>
    <xf numFmtId="0" fontId="4" fillId="0" borderId="0" xfId="0" applyFont="1" applyFill="1"/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8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workbookViewId="0">
      <pane xSplit="2" ySplit="3" topLeftCell="C108" activePane="bottomRight" state="frozen"/>
      <selection pane="topRight" activeCell="C1" sqref="C1"/>
      <selection pane="bottomLeft" activeCell="A2" sqref="A2"/>
      <selection pane="bottomRight" activeCell="B23" sqref="B23"/>
    </sheetView>
  </sheetViews>
  <sheetFormatPr defaultRowHeight="15" x14ac:dyDescent="0.25"/>
  <cols>
    <col min="1" max="1" width="7.140625" customWidth="1"/>
    <col min="2" max="2" width="42.85546875" customWidth="1"/>
    <col min="3" max="6" width="14.28515625" hidden="1" customWidth="1"/>
    <col min="7" max="17" width="14.28515625" customWidth="1"/>
  </cols>
  <sheetData>
    <row r="1" spans="1:17" ht="18.75" x14ac:dyDescent="0.3">
      <c r="A1" s="4" t="s">
        <v>227</v>
      </c>
    </row>
    <row r="3" spans="1:17" s="6" customFormat="1" ht="12.75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  <c r="Q3" s="22" t="s">
        <v>16</v>
      </c>
    </row>
    <row r="4" spans="1:17" s="6" customFormat="1" ht="14.25" customHeight="1" x14ac:dyDescent="0.2">
      <c r="A4" s="7" t="s">
        <v>17</v>
      </c>
      <c r="B4" s="8" t="s">
        <v>18</v>
      </c>
      <c r="C4" s="9">
        <f>IF(ISNUMBER(VLOOKUP("1.1",A4:Q114,3,FALSE)),VLOOKUP("1.1",A4:Q114,3,FALSE),0) + IF(ISNUMBER(VLOOKUP("1.2",A4:Q114,3,FALSE)),VLOOKUP("1.2",A4:Q114,3,FALSE),0)</f>
        <v>151536220.07000002</v>
      </c>
      <c r="D4" s="9">
        <f>IF(ISNUMBER(VLOOKUP("1.1",A4:Q114,4,FALSE)),VLOOKUP("1.1",A4:Q114,4,FALSE),0) + IF(ISNUMBER(VLOOKUP("1.2",A4:Q114,4,FALSE)),VLOOKUP("1.2",A4:Q114,4,FALSE),0)</f>
        <v>156579535.20999998</v>
      </c>
      <c r="E4" s="9">
        <f>IF(ISNUMBER(VLOOKUP("1.1",A4:Q114,5,FALSE)),VLOOKUP("1.1",A4:Q114,5,FALSE),0) + IF(ISNUMBER(VLOOKUP("1.2",A4:Q114,5,FALSE)),VLOOKUP("1.2",A4:Q114,5,FALSE),0)</f>
        <v>161888247</v>
      </c>
      <c r="F4" s="9">
        <f>IF(ISNUMBER(VLOOKUP("1.1",A4:Q114,6,FALSE)),VLOOKUP("1.1",A4:Q114,6,FALSE),0) + IF(ISNUMBER(VLOOKUP("1.2",A4:Q114,6,FALSE)),VLOOKUP("1.2",A4:Q114,6,FALSE),0)</f>
        <v>163910461.41</v>
      </c>
      <c r="G4" s="9">
        <f>IF(ISNUMBER(VLOOKUP("1.1",A4:Q114,7,FALSE)),VLOOKUP("1.1",A4:Q114,7,FALSE),0) + IF(ISNUMBER(VLOOKUP("1.2",A4:Q114,7,FALSE)),VLOOKUP("1.2",A4:Q114,7,FALSE),0)</f>
        <v>179683614</v>
      </c>
      <c r="H4" s="9">
        <f>IF(ISNUMBER(VLOOKUP("1.1",A4:Q114,8,FALSE)),VLOOKUP("1.1",A4:Q114,8,FALSE),0) + IF(ISNUMBER(VLOOKUP("1.2",A4:Q114,8,FALSE)),VLOOKUP("1.2",A4:Q114,8,FALSE),0)</f>
        <v>175221850</v>
      </c>
      <c r="I4" s="9">
        <f>IF(ISNUMBER(VLOOKUP("1.1",A4:Q114,9,FALSE)),VLOOKUP("1.1",A4:Q114,9,FALSE),0) + IF(ISNUMBER(VLOOKUP("1.2",A4:Q114,9,FALSE)),VLOOKUP("1.2",A4:Q114,9,FALSE),0)</f>
        <v>165118607</v>
      </c>
      <c r="J4" s="9">
        <f>IF(ISNUMBER(VLOOKUP("1.1",A4:Q114,10,FALSE)),VLOOKUP("1.1",A4:Q114,10,FALSE),0) + IF(ISNUMBER(VLOOKUP("1.2",A4:Q114,10,FALSE)),VLOOKUP("1.2",A4:Q114,10,FALSE),0)</f>
        <v>164810779</v>
      </c>
      <c r="K4" s="9">
        <f>IF(ISNUMBER(VLOOKUP("1.1",A4:Q114,11,FALSE)),VLOOKUP("1.1",A4:Q114,11,FALSE),0) + IF(ISNUMBER(VLOOKUP("1.2",A4:Q114,11,FALSE)),VLOOKUP("1.2",A4:Q114,11,FALSE),0)</f>
        <v>169474028</v>
      </c>
      <c r="L4" s="9">
        <f>IF(ISNUMBER(VLOOKUP("1.1",A4:Q114,12,FALSE)),VLOOKUP("1.1",A4:Q114,12,FALSE),0) + IF(ISNUMBER(VLOOKUP("1.2",A4:Q114,12,FALSE)),VLOOKUP("1.2",A4:Q114,12,FALSE),0)</f>
        <v>174185016</v>
      </c>
      <c r="M4" s="9">
        <f>IF(ISNUMBER(VLOOKUP("1.1",A4:Q114,13,FALSE)),VLOOKUP("1.1",A4:Q114,13,FALSE),0) + IF(ISNUMBER(VLOOKUP("1.2",A4:Q114,13,FALSE)),VLOOKUP("1.2",A4:Q114,13,FALSE),0)</f>
        <v>178723756</v>
      </c>
      <c r="N4" s="9">
        <f>IF(ISNUMBER(VLOOKUP("1.1",A4:Q114,14,FALSE)),VLOOKUP("1.1",A4:Q114,14,FALSE),0) + IF(ISNUMBER(VLOOKUP("1.2",A4:Q114,14,FALSE)),VLOOKUP("1.2",A4:Q114,14,FALSE),0)</f>
        <v>183283604</v>
      </c>
      <c r="O4" s="9">
        <f>IF(ISNUMBER(VLOOKUP("1.1",A4:Q114,15,FALSE)),VLOOKUP("1.1",A4:Q114,15,FALSE),0) + IF(ISNUMBER(VLOOKUP("1.2",A4:Q114,15,FALSE)),VLOOKUP("1.2",A4:Q114,15,FALSE),0)</f>
        <v>187857911</v>
      </c>
      <c r="P4" s="9">
        <f>IF(ISNUMBER(VLOOKUP("1.1",A4:Q114,16,FALSE)),VLOOKUP("1.1",A4:Q114,16,FALSE),0) + IF(ISNUMBER(VLOOKUP("1.2",A4:Q114,16,FALSE)),VLOOKUP("1.2",A4:Q114,16,FALSE),0)</f>
        <v>192439807</v>
      </c>
      <c r="Q4" s="9">
        <f>IF(ISNUMBER(VLOOKUP("1.1",A4:Q114,17,FALSE)),VLOOKUP("1.1",A4:Q114,17,FALSE),0) + IF(ISNUMBER(VLOOKUP("1.2",A4:Q114,17,FALSE)),VLOOKUP("1.2",A4:Q114,17,FALSE),0)</f>
        <v>197022224</v>
      </c>
    </row>
    <row r="5" spans="1:17" s="6" customFormat="1" ht="14.25" customHeight="1" x14ac:dyDescent="0.2">
      <c r="A5" s="7" t="s">
        <v>19</v>
      </c>
      <c r="B5" s="8" t="s">
        <v>20</v>
      </c>
      <c r="C5" s="9">
        <f>IF(ISNUMBER(VLOOKUP("1.1.1",A4:Q114,3,FALSE)),VLOOKUP("1.1.1",A4:Q114,3,FALSE),0) + IF(ISNUMBER(VLOOKUP("1.1.2",A4:Q114,3,FALSE)),VLOOKUP("1.1.2",A4:Q114,3,FALSE),0) + IF(ISNUMBER(VLOOKUP("1.1.3",A4:Q114,3,FALSE)),VLOOKUP("1.1.3",A4:Q114,3,FALSE),0) + IF(ISNUMBER(VLOOKUP("1.1.4",A4:Q114,3,FALSE)),VLOOKUP("1.1.4",A4:Q114,3,FALSE),0) + IF(ISNUMBER(VLOOKUP("1.1.5",A4:Q114,3,FALSE)),VLOOKUP("1.1.5",A4:Q114,3,FALSE),0) + IF(ISNUMBER(VLOOKUP("1.1.x",A4:Q114,3,FALSE)),VLOOKUP("1.1.x",A4:Q114,3,FALSE),0)</f>
        <v>145711370.05000001</v>
      </c>
      <c r="D5" s="9">
        <f>IF(ISNUMBER(VLOOKUP("1.1.1",A4:Q114,4,FALSE)),VLOOKUP("1.1.1",A4:Q114,4,FALSE),0) + IF(ISNUMBER(VLOOKUP("1.1.2",A4:Q114,4,FALSE)),VLOOKUP("1.1.2",A4:Q114,4,FALSE),0) + IF(ISNUMBER(VLOOKUP("1.1.3",A4:Q114,4,FALSE)),VLOOKUP("1.1.3",A4:Q114,4,FALSE),0) + IF(ISNUMBER(VLOOKUP("1.1.4",A4:Q114,4,FALSE)),VLOOKUP("1.1.4",A4:Q114,4,FALSE),0) + IF(ISNUMBER(VLOOKUP("1.1.5",A4:Q114,4,FALSE)),VLOOKUP("1.1.5",A4:Q114,4,FALSE),0) + IF(ISNUMBER(VLOOKUP("1.1.x",A4:Q114,4,FALSE)),VLOOKUP("1.1.x",A4:Q114,4,FALSE),0)</f>
        <v>145471343.13999999</v>
      </c>
      <c r="E5" s="9">
        <f>IF(ISNUMBER(VLOOKUP("1.1.1",A4:Q114,5,FALSE)),VLOOKUP("1.1.1",A4:Q114,5,FALSE),0) + IF(ISNUMBER(VLOOKUP("1.1.2",A4:Q114,5,FALSE)),VLOOKUP("1.1.2",A4:Q114,5,FALSE),0) + IF(ISNUMBER(VLOOKUP("1.1.3",A4:Q114,5,FALSE)),VLOOKUP("1.1.3",A4:Q114,5,FALSE),0) + IF(ISNUMBER(VLOOKUP("1.1.4",A4:Q114,5,FALSE)),VLOOKUP("1.1.4",A4:Q114,5,FALSE),0) + IF(ISNUMBER(VLOOKUP("1.1.5",A4:Q114,5,FALSE)),VLOOKUP("1.1.5",A4:Q114,5,FALSE),0) + IF(ISNUMBER(VLOOKUP("1.1.x",A4:Q114,5,FALSE)),VLOOKUP("1.1.x",A4:Q114,5,FALSE),0)</f>
        <v>151353616</v>
      </c>
      <c r="F5" s="9">
        <f>IF(ISNUMBER(VLOOKUP("1.1.1",A4:Q114,6,FALSE)),VLOOKUP("1.1.1",A4:Q114,6,FALSE),0) + IF(ISNUMBER(VLOOKUP("1.1.2",A4:Q114,6,FALSE)),VLOOKUP("1.1.2",A4:Q114,6,FALSE),0) + IF(ISNUMBER(VLOOKUP("1.1.3",A4:Q114,6,FALSE)),VLOOKUP("1.1.3",A4:Q114,6,FALSE),0) + IF(ISNUMBER(VLOOKUP("1.1.4",A4:Q114,6,FALSE)),VLOOKUP("1.1.4",A4:Q114,6,FALSE),0) + IF(ISNUMBER(VLOOKUP("1.1.5",A4:Q114,6,FALSE)),VLOOKUP("1.1.5",A4:Q114,6,FALSE),0) + IF(ISNUMBER(VLOOKUP("1.1.x",A4:Q114,6,FALSE)),VLOOKUP("1.1.x",A4:Q114,6,FALSE),0)</f>
        <v>155308976.19999999</v>
      </c>
      <c r="G5" s="9">
        <f>IF(ISNUMBER(VLOOKUP("1.1.1",A4:Q114,7,FALSE)),VLOOKUP("1.1.1",A4:Q114,7,FALSE),0) + IF(ISNUMBER(VLOOKUP("1.1.2",A4:Q114,7,FALSE)),VLOOKUP("1.1.2",A4:Q114,7,FALSE),0) + IF(ISNUMBER(VLOOKUP("1.1.3",A4:Q114,7,FALSE)),VLOOKUP("1.1.3",A4:Q114,7,FALSE),0) + IF(ISNUMBER(VLOOKUP("1.1.4",A4:Q114,7,FALSE)),VLOOKUP("1.1.4",A4:Q114,7,FALSE),0) + IF(ISNUMBER(VLOOKUP("1.1.5",A4:Q114,7,FALSE)),VLOOKUP("1.1.5",A4:Q114,7,FALSE),0) + IF(ISNUMBER(VLOOKUP("1.1.x",A4:Q114,7,FALSE)),VLOOKUP("1.1.x",A4:Q114,7,FALSE),0)</f>
        <v>157690878</v>
      </c>
      <c r="H5" s="9">
        <f>IF(ISNUMBER(VLOOKUP("1.1.1",A4:Q114,8,FALSE)),VLOOKUP("1.1.1",A4:Q114,8,FALSE),0) + IF(ISNUMBER(VLOOKUP("1.1.2",A4:Q114,8,FALSE)),VLOOKUP("1.1.2",A4:Q114,8,FALSE),0) + IF(ISNUMBER(VLOOKUP("1.1.3",A4:Q114,8,FALSE)),VLOOKUP("1.1.3",A4:Q114,8,FALSE),0) + IF(ISNUMBER(VLOOKUP("1.1.4",A4:Q114,8,FALSE)),VLOOKUP("1.1.4",A4:Q114,8,FALSE),0) + IF(ISNUMBER(VLOOKUP("1.1.5",A4:Q114,8,FALSE)),VLOOKUP("1.1.5",A4:Q114,8,FALSE),0) + IF(ISNUMBER(VLOOKUP("1.1.x",A4:Q114,8,FALSE)),VLOOKUP("1.1.x",A4:Q114,8,FALSE),0)</f>
        <v>156836744</v>
      </c>
      <c r="I5" s="9">
        <f>IF(ISNUMBER(VLOOKUP("1.1.1",A4:Q114,9,FALSE)),VLOOKUP("1.1.1",A4:Q114,9,FALSE),0) + IF(ISNUMBER(VLOOKUP("1.1.2",A4:Q114,9,FALSE)),VLOOKUP("1.1.2",A4:Q114,9,FALSE),0) + IF(ISNUMBER(VLOOKUP("1.1.3",A4:Q114,9,FALSE)),VLOOKUP("1.1.3",A4:Q114,9,FALSE),0) + IF(ISNUMBER(VLOOKUP("1.1.4",A4:Q114,9,FALSE)),VLOOKUP("1.1.4",A4:Q114,9,FALSE),0) + IF(ISNUMBER(VLOOKUP("1.1.5",A4:Q114,9,FALSE)),VLOOKUP("1.1.5",A4:Q114,9,FALSE),0) + IF(ISNUMBER(VLOOKUP("1.1.x",A4:Q114,9,FALSE)),VLOOKUP("1.1.x",A4:Q114,9,FALSE),0)</f>
        <v>160168737</v>
      </c>
      <c r="J5" s="9">
        <f>IF(ISNUMBER(VLOOKUP("1.1.1",A4:Q114,10,FALSE)),VLOOKUP("1.1.1",A4:Q114,10,FALSE),0) + IF(ISNUMBER(VLOOKUP("1.1.2",A4:Q114,10,FALSE)),VLOOKUP("1.1.2",A4:Q114,10,FALSE),0) + IF(ISNUMBER(VLOOKUP("1.1.3",A4:Q114,10,FALSE)),VLOOKUP("1.1.3",A4:Q114,10,FALSE),0) + IF(ISNUMBER(VLOOKUP("1.1.4",A4:Q114,10,FALSE)),VLOOKUP("1.1.4",A4:Q114,10,FALSE),0) + IF(ISNUMBER(VLOOKUP("1.1.5",A4:Q114,10,FALSE)),VLOOKUP("1.1.5",A4:Q114,10,FALSE),0) + IF(ISNUMBER(VLOOKUP("1.1.x",A4:Q114,10,FALSE)),VLOOKUP("1.1.x",A4:Q114,10,FALSE),0)</f>
        <v>164810779</v>
      </c>
      <c r="K5" s="9">
        <f>IF(ISNUMBER(VLOOKUP("1.1.1",A4:Q114,11,FALSE)),VLOOKUP("1.1.1",A4:Q114,11,FALSE),0) + IF(ISNUMBER(VLOOKUP("1.1.2",A4:Q114,11,FALSE)),VLOOKUP("1.1.2",A4:Q114,11,FALSE),0) + IF(ISNUMBER(VLOOKUP("1.1.3",A4:Q114,11,FALSE)),VLOOKUP("1.1.3",A4:Q114,11,FALSE),0) + IF(ISNUMBER(VLOOKUP("1.1.4",A4:Q114,11,FALSE)),VLOOKUP("1.1.4",A4:Q114,11,FALSE),0) + IF(ISNUMBER(VLOOKUP("1.1.5",A4:Q114,11,FALSE)),VLOOKUP("1.1.5",A4:Q114,11,FALSE),0) + IF(ISNUMBER(VLOOKUP("1.1.x",A4:Q114,11,FALSE)),VLOOKUP("1.1.x",A4:Q114,11,FALSE),0)</f>
        <v>169474028</v>
      </c>
      <c r="L5" s="9">
        <f>IF(ISNUMBER(VLOOKUP("1.1.1",A4:Q114,12,FALSE)),VLOOKUP("1.1.1",A4:Q114,12,FALSE),0) + IF(ISNUMBER(VLOOKUP("1.1.2",A4:Q114,12,FALSE)),VLOOKUP("1.1.2",A4:Q114,12,FALSE),0) + IF(ISNUMBER(VLOOKUP("1.1.3",A4:Q114,12,FALSE)),VLOOKUP("1.1.3",A4:Q114,12,FALSE),0) + IF(ISNUMBER(VLOOKUP("1.1.4",A4:Q114,12,FALSE)),VLOOKUP("1.1.4",A4:Q114,12,FALSE),0) + IF(ISNUMBER(VLOOKUP("1.1.5",A4:Q114,12,FALSE)),VLOOKUP("1.1.5",A4:Q114,12,FALSE),0) + IF(ISNUMBER(VLOOKUP("1.1.x",A4:Q114,12,FALSE)),VLOOKUP("1.1.x",A4:Q114,12,FALSE),0)</f>
        <v>174185016</v>
      </c>
      <c r="M5" s="9">
        <f>IF(ISNUMBER(VLOOKUP("1.1.1",A4:Q114,13,FALSE)),VLOOKUP("1.1.1",A4:Q114,13,FALSE),0) + IF(ISNUMBER(VLOOKUP("1.1.2",A4:Q114,13,FALSE)),VLOOKUP("1.1.2",A4:Q114,13,FALSE),0) + IF(ISNUMBER(VLOOKUP("1.1.3",A4:Q114,13,FALSE)),VLOOKUP("1.1.3",A4:Q114,13,FALSE),0) + IF(ISNUMBER(VLOOKUP("1.1.4",A4:Q114,13,FALSE)),VLOOKUP("1.1.4",A4:Q114,13,FALSE),0) + IF(ISNUMBER(VLOOKUP("1.1.5",A4:Q114,13,FALSE)),VLOOKUP("1.1.5",A4:Q114,13,FALSE),0) + IF(ISNUMBER(VLOOKUP("1.1.x",A4:Q114,13,FALSE)),VLOOKUP("1.1.x",A4:Q114,13,FALSE),0)</f>
        <v>178723756</v>
      </c>
      <c r="N5" s="9">
        <f>IF(ISNUMBER(VLOOKUP("1.1.1",A4:Q114,14,FALSE)),VLOOKUP("1.1.1",A4:Q114,14,FALSE),0) + IF(ISNUMBER(VLOOKUP("1.1.2",A4:Q114,14,FALSE)),VLOOKUP("1.1.2",A4:Q114,14,FALSE),0) + IF(ISNUMBER(VLOOKUP("1.1.3",A4:Q114,14,FALSE)),VLOOKUP("1.1.3",A4:Q114,14,FALSE),0) + IF(ISNUMBER(VLOOKUP("1.1.4",A4:Q114,14,FALSE)),VLOOKUP("1.1.4",A4:Q114,14,FALSE),0) + IF(ISNUMBER(VLOOKUP("1.1.5",A4:Q114,14,FALSE)),VLOOKUP("1.1.5",A4:Q114,14,FALSE),0) + IF(ISNUMBER(VLOOKUP("1.1.x",A4:Q114,14,FALSE)),VLOOKUP("1.1.x",A4:Q114,14,FALSE),0)</f>
        <v>183283604</v>
      </c>
      <c r="O5" s="9">
        <f>IF(ISNUMBER(VLOOKUP("1.1.1",A4:Q114,15,FALSE)),VLOOKUP("1.1.1",A4:Q114,15,FALSE),0) + IF(ISNUMBER(VLOOKUP("1.1.2",A4:Q114,15,FALSE)),VLOOKUP("1.1.2",A4:Q114,15,FALSE),0) + IF(ISNUMBER(VLOOKUP("1.1.3",A4:Q114,15,FALSE)),VLOOKUP("1.1.3",A4:Q114,15,FALSE),0) + IF(ISNUMBER(VLOOKUP("1.1.4",A4:Q114,15,FALSE)),VLOOKUP("1.1.4",A4:Q114,15,FALSE),0) + IF(ISNUMBER(VLOOKUP("1.1.5",A4:Q114,15,FALSE)),VLOOKUP("1.1.5",A4:Q114,15,FALSE),0) + IF(ISNUMBER(VLOOKUP("1.1.x",A4:Q114,15,FALSE)),VLOOKUP("1.1.x",A4:Q114,15,FALSE),0)</f>
        <v>187857911</v>
      </c>
      <c r="P5" s="9">
        <f>IF(ISNUMBER(VLOOKUP("1.1.1",A4:Q114,16,FALSE)),VLOOKUP("1.1.1",A4:Q114,16,FALSE),0) + IF(ISNUMBER(VLOOKUP("1.1.2",A4:Q114,16,FALSE)),VLOOKUP("1.1.2",A4:Q114,16,FALSE),0) + IF(ISNUMBER(VLOOKUP("1.1.3",A4:Q114,16,FALSE)),VLOOKUP("1.1.3",A4:Q114,16,FALSE),0) + IF(ISNUMBER(VLOOKUP("1.1.4",A4:Q114,16,FALSE)),VLOOKUP("1.1.4",A4:Q114,16,FALSE),0) + IF(ISNUMBER(VLOOKUP("1.1.5",A4:Q114,16,FALSE)),VLOOKUP("1.1.5",A4:Q114,16,FALSE),0) + IF(ISNUMBER(VLOOKUP("1.1.x",A4:Q114,16,FALSE)),VLOOKUP("1.1.x",A4:Q114,16,FALSE),0)</f>
        <v>192439807</v>
      </c>
      <c r="Q5" s="9">
        <f>IF(ISNUMBER(VLOOKUP("1.1.1",A4:Q114,17,FALSE)),VLOOKUP("1.1.1",A4:Q114,17,FALSE),0) + IF(ISNUMBER(VLOOKUP("1.1.2",A4:Q114,17,FALSE)),VLOOKUP("1.1.2",A4:Q114,17,FALSE),0) + IF(ISNUMBER(VLOOKUP("1.1.3",A4:Q114,17,FALSE)),VLOOKUP("1.1.3",A4:Q114,17,FALSE),0) + IF(ISNUMBER(VLOOKUP("1.1.4",A4:Q114,17,FALSE)),VLOOKUP("1.1.4",A4:Q114,17,FALSE),0) + IF(ISNUMBER(VLOOKUP("1.1.5",A4:Q114,17,FALSE)),VLOOKUP("1.1.5",A4:Q114,17,FALSE),0) + IF(ISNUMBER(VLOOKUP("1.1.x",A4:Q114,17,FALSE)),VLOOKUP("1.1.x",A4:Q114,17,FALSE),0)</f>
        <v>197022224</v>
      </c>
    </row>
    <row r="6" spans="1:17" s="6" customFormat="1" ht="27" customHeight="1" x14ac:dyDescent="0.2">
      <c r="A6" s="10" t="s">
        <v>21</v>
      </c>
      <c r="B6" s="11" t="s">
        <v>22</v>
      </c>
      <c r="C6" s="12">
        <v>33384033</v>
      </c>
      <c r="D6" s="12">
        <v>35636709</v>
      </c>
      <c r="E6" s="12">
        <v>37003176</v>
      </c>
      <c r="F6" s="12">
        <v>37631577</v>
      </c>
      <c r="G6" s="12">
        <v>39640704</v>
      </c>
      <c r="H6" s="12">
        <v>41164257</v>
      </c>
      <c r="I6" s="12">
        <v>42769663</v>
      </c>
      <c r="J6" s="12">
        <v>44437680</v>
      </c>
      <c r="K6" s="12">
        <v>46081874</v>
      </c>
      <c r="L6" s="12">
        <v>47740821</v>
      </c>
      <c r="M6" s="12">
        <v>49316268</v>
      </c>
      <c r="N6" s="12">
        <v>50894389</v>
      </c>
      <c r="O6" s="12">
        <v>52472115</v>
      </c>
      <c r="P6" s="12">
        <v>54046278</v>
      </c>
      <c r="Q6" s="12">
        <v>55613620</v>
      </c>
    </row>
    <row r="7" spans="1:17" s="6" customFormat="1" ht="27" customHeight="1" x14ac:dyDescent="0.2">
      <c r="A7" s="10" t="s">
        <v>23</v>
      </c>
      <c r="B7" s="11" t="s">
        <v>24</v>
      </c>
      <c r="C7" s="12">
        <v>992455.46</v>
      </c>
      <c r="D7" s="12">
        <v>1274320.8</v>
      </c>
      <c r="E7" s="12">
        <v>1100000</v>
      </c>
      <c r="F7" s="12">
        <v>1546762.84</v>
      </c>
      <c r="G7" s="12">
        <v>1300000</v>
      </c>
      <c r="H7" s="12">
        <v>1349400</v>
      </c>
      <c r="I7" s="12">
        <v>1402027</v>
      </c>
      <c r="J7" s="12">
        <v>1456706</v>
      </c>
      <c r="K7" s="12">
        <v>1510604</v>
      </c>
      <c r="L7" s="12">
        <v>1564986</v>
      </c>
      <c r="M7" s="12">
        <v>1616631</v>
      </c>
      <c r="N7" s="12">
        <v>1668363</v>
      </c>
      <c r="O7" s="12">
        <v>1720082</v>
      </c>
      <c r="P7" s="12">
        <v>1771684</v>
      </c>
      <c r="Q7" s="12">
        <v>1823063</v>
      </c>
    </row>
    <row r="8" spans="1:17" s="6" customFormat="1" ht="14.25" customHeight="1" x14ac:dyDescent="0.2">
      <c r="A8" s="10" t="s">
        <v>25</v>
      </c>
      <c r="B8" s="11" t="s">
        <v>26</v>
      </c>
      <c r="C8" s="12">
        <v>6806729.3399999999</v>
      </c>
      <c r="D8" s="12">
        <v>6791268.2400000002</v>
      </c>
      <c r="E8" s="12">
        <v>6370490</v>
      </c>
      <c r="F8" s="12">
        <v>7041355.6299999999</v>
      </c>
      <c r="G8" s="12">
        <v>6415240</v>
      </c>
      <c r="H8" s="12">
        <v>6597839</v>
      </c>
      <c r="I8" s="12">
        <v>6855155</v>
      </c>
      <c r="J8" s="12">
        <v>7122506</v>
      </c>
      <c r="K8" s="12">
        <v>7386039</v>
      </c>
      <c r="L8" s="12">
        <v>7651936</v>
      </c>
      <c r="M8" s="12">
        <v>7904450</v>
      </c>
      <c r="N8" s="12">
        <v>8157392</v>
      </c>
      <c r="O8" s="12">
        <v>8410271</v>
      </c>
      <c r="P8" s="12">
        <v>8662579</v>
      </c>
      <c r="Q8" s="12">
        <v>8913794</v>
      </c>
    </row>
    <row r="9" spans="1:17" s="6" customFormat="1" ht="14.25" customHeight="1" x14ac:dyDescent="0.2">
      <c r="A9" s="10" t="s">
        <v>27</v>
      </c>
      <c r="B9" s="11" t="s">
        <v>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s="6" customFormat="1" ht="14.25" customHeight="1" x14ac:dyDescent="0.2">
      <c r="A10" s="10" t="s">
        <v>29</v>
      </c>
      <c r="B10" s="11" t="s">
        <v>30</v>
      </c>
      <c r="C10" s="12">
        <v>60522613</v>
      </c>
      <c r="D10" s="12">
        <v>60660205</v>
      </c>
      <c r="E10" s="12">
        <v>62303863</v>
      </c>
      <c r="F10" s="12">
        <v>62475399</v>
      </c>
      <c r="G10" s="12">
        <v>61860608</v>
      </c>
      <c r="H10" s="12">
        <v>63302568</v>
      </c>
      <c r="I10" s="12">
        <v>64252107</v>
      </c>
      <c r="J10" s="12">
        <v>65215889</v>
      </c>
      <c r="K10" s="12">
        <v>66194127</v>
      </c>
      <c r="L10" s="12">
        <v>67187039</v>
      </c>
      <c r="M10" s="12">
        <v>68194845</v>
      </c>
      <c r="N10" s="12">
        <v>69217768</v>
      </c>
      <c r="O10" s="12">
        <v>70256035</v>
      </c>
      <c r="P10" s="12">
        <v>71309876</v>
      </c>
      <c r="Q10" s="12">
        <v>72379524</v>
      </c>
    </row>
    <row r="11" spans="1:17" s="6" customFormat="1" ht="29.25" customHeight="1" x14ac:dyDescent="0.2">
      <c r="A11" s="10" t="s">
        <v>31</v>
      </c>
      <c r="B11" s="11" t="s">
        <v>32</v>
      </c>
      <c r="C11" s="12">
        <v>30295764</v>
      </c>
      <c r="D11" s="12">
        <v>28143530.190000001</v>
      </c>
      <c r="E11" s="12">
        <v>31309259</v>
      </c>
      <c r="F11" s="12">
        <v>32618811.059999999</v>
      </c>
      <c r="G11" s="12">
        <v>35092443</v>
      </c>
      <c r="H11" s="12">
        <v>31512881</v>
      </c>
      <c r="I11" s="12">
        <v>31476504</v>
      </c>
      <c r="J11" s="12">
        <v>32641599</v>
      </c>
      <c r="K11" s="12">
        <v>33849338</v>
      </c>
      <c r="L11" s="12">
        <v>35067914</v>
      </c>
      <c r="M11" s="12">
        <v>36225155</v>
      </c>
      <c r="N11" s="12">
        <v>37384360</v>
      </c>
      <c r="O11" s="12">
        <v>38543275</v>
      </c>
      <c r="P11" s="12">
        <v>39699573</v>
      </c>
      <c r="Q11" s="12">
        <v>40850861</v>
      </c>
    </row>
    <row r="12" spans="1:17" s="6" customFormat="1" ht="6" hidden="1" customHeight="1" x14ac:dyDescent="0.2">
      <c r="A12" s="10" t="s">
        <v>33</v>
      </c>
      <c r="B12" s="11" t="s">
        <v>34</v>
      </c>
      <c r="C12" s="12">
        <v>13709775.25</v>
      </c>
      <c r="D12" s="12">
        <v>12965309.91</v>
      </c>
      <c r="E12" s="12">
        <v>13266828</v>
      </c>
      <c r="F12" s="12">
        <v>13995070.67</v>
      </c>
      <c r="G12" s="12">
        <v>13381883</v>
      </c>
      <c r="H12" s="12">
        <v>12909799</v>
      </c>
      <c r="I12" s="12">
        <v>13413281</v>
      </c>
      <c r="J12" s="12">
        <v>13936399</v>
      </c>
      <c r="K12" s="12">
        <v>14452046</v>
      </c>
      <c r="L12" s="12">
        <v>14972320</v>
      </c>
      <c r="M12" s="12">
        <v>15466407</v>
      </c>
      <c r="N12" s="12">
        <v>15961332</v>
      </c>
      <c r="O12" s="12">
        <v>16456133</v>
      </c>
      <c r="P12" s="12">
        <v>16949817</v>
      </c>
      <c r="Q12" s="12">
        <v>17441362</v>
      </c>
    </row>
    <row r="13" spans="1:17" s="6" customFormat="1" ht="14.25" customHeight="1" x14ac:dyDescent="0.2">
      <c r="A13" s="7" t="s">
        <v>35</v>
      </c>
      <c r="B13" s="8" t="s">
        <v>36</v>
      </c>
      <c r="C13" s="9">
        <f>IF(ISNUMBER(VLOOKUP("1.2.1",A4:Q114,3,FALSE)),VLOOKUP("1.2.1",A4:Q114,3,FALSE),0) + IF(ISNUMBER(VLOOKUP("1.2.2",A4:Q114,3,FALSE)),VLOOKUP("1.2.2",A4:Q114,3,FALSE),0) + IF(ISNUMBER(VLOOKUP("1.2.x",A4:Q114,3,FALSE)),VLOOKUP("1.2.x",A4:Q114,3,FALSE),0)</f>
        <v>5824850.0200000005</v>
      </c>
      <c r="D13" s="9">
        <f>IF(ISNUMBER(VLOOKUP("1.2.1",A4:Q114,4,FALSE)),VLOOKUP("1.2.1",A4:Q114,4,FALSE),0) + IF(ISNUMBER(VLOOKUP("1.2.2",A4:Q114,4,FALSE)),VLOOKUP("1.2.2",A4:Q114,4,FALSE),0) + IF(ISNUMBER(VLOOKUP("1.2.x",A4:Q114,4,FALSE)),VLOOKUP("1.2.x",A4:Q114,4,FALSE),0)</f>
        <v>11108192.07</v>
      </c>
      <c r="E13" s="9">
        <f>IF(ISNUMBER(VLOOKUP("1.2.1",A4:Q114,5,FALSE)),VLOOKUP("1.2.1",A4:Q114,5,FALSE),0) + IF(ISNUMBER(VLOOKUP("1.2.2",A4:Q114,5,FALSE)),VLOOKUP("1.2.2",A4:Q114,5,FALSE),0) + IF(ISNUMBER(VLOOKUP("1.2.x",A4:Q114,5,FALSE)),VLOOKUP("1.2.x",A4:Q114,5,FALSE),0)</f>
        <v>10534631</v>
      </c>
      <c r="F13" s="9">
        <f>IF(ISNUMBER(VLOOKUP("1.2.1",A4:Q114,6,FALSE)),VLOOKUP("1.2.1",A4:Q114,6,FALSE),0) + IF(ISNUMBER(VLOOKUP("1.2.2",A4:Q114,6,FALSE)),VLOOKUP("1.2.2",A4:Q114,6,FALSE),0) + IF(ISNUMBER(VLOOKUP("1.2.x",A4:Q114,6,FALSE)),VLOOKUP("1.2.x",A4:Q114,6,FALSE),0)</f>
        <v>8601485.209999999</v>
      </c>
      <c r="G13" s="9">
        <f>IF(ISNUMBER(VLOOKUP("1.2.1",A4:Q114,7,FALSE)),VLOOKUP("1.2.1",A4:Q114,7,FALSE),0) + IF(ISNUMBER(VLOOKUP("1.2.2",A4:Q114,7,FALSE)),VLOOKUP("1.2.2",A4:Q114,7,FALSE),0) + IF(ISNUMBER(VLOOKUP("1.2.x",A4:Q114,7,FALSE)),VLOOKUP("1.2.x",A4:Q114,7,FALSE),0)</f>
        <v>21992736</v>
      </c>
      <c r="H13" s="9">
        <f>IF(ISNUMBER(VLOOKUP("1.2.1",A4:Q114,8,FALSE)),VLOOKUP("1.2.1",A4:Q114,8,FALSE),0) + IF(ISNUMBER(VLOOKUP("1.2.2",A4:Q114,8,FALSE)),VLOOKUP("1.2.2",A4:Q114,8,FALSE),0) + IF(ISNUMBER(VLOOKUP("1.2.x",A4:Q114,8,FALSE)),VLOOKUP("1.2.x",A4:Q114,8,FALSE),0)</f>
        <v>18385106</v>
      </c>
      <c r="I13" s="9">
        <f>IF(ISNUMBER(VLOOKUP("1.2.1",A4:Q114,9,FALSE)),VLOOKUP("1.2.1",A4:Q114,9,FALSE),0) + IF(ISNUMBER(VLOOKUP("1.2.2",A4:Q114,9,FALSE)),VLOOKUP("1.2.2",A4:Q114,9,FALSE),0) + IF(ISNUMBER(VLOOKUP("1.2.x",A4:Q114,9,FALSE)),VLOOKUP("1.2.x",A4:Q114,9,FALSE),0)</f>
        <v>4949870</v>
      </c>
      <c r="J13" s="9">
        <f>IF(ISNUMBER(VLOOKUP("1.2.1",A4:Q114,10,FALSE)),VLOOKUP("1.2.1",A4:Q114,10,FALSE),0) + IF(ISNUMBER(VLOOKUP("1.2.2",A4:Q114,10,FALSE)),VLOOKUP("1.2.2",A4:Q114,10,FALSE),0) + IF(ISNUMBER(VLOOKUP("1.2.x",A4:Q114,10,FALSE)),VLOOKUP("1.2.x",A4:Q114,10,FALSE),0)</f>
        <v>0</v>
      </c>
      <c r="K13" s="9">
        <f>IF(ISNUMBER(VLOOKUP("1.2.1",A4:Q114,11,FALSE)),VLOOKUP("1.2.1",A4:Q114,11,FALSE),0) + IF(ISNUMBER(VLOOKUP("1.2.2",A4:Q114,11,FALSE)),VLOOKUP("1.2.2",A4:Q114,11,FALSE),0) + IF(ISNUMBER(VLOOKUP("1.2.x",A4:Q114,11,FALSE)),VLOOKUP("1.2.x",A4:Q114,11,FALSE),0)</f>
        <v>0</v>
      </c>
      <c r="L13" s="9">
        <f>IF(ISNUMBER(VLOOKUP("1.2.1",A4:Q114,12,FALSE)),VLOOKUP("1.2.1",A4:Q114,12,FALSE),0) + IF(ISNUMBER(VLOOKUP("1.2.2",A4:Q114,12,FALSE)),VLOOKUP("1.2.2",A4:Q114,12,FALSE),0) + IF(ISNUMBER(VLOOKUP("1.2.x",A4:Q114,12,FALSE)),VLOOKUP("1.2.x",A4:Q114,12,FALSE),0)</f>
        <v>0</v>
      </c>
      <c r="M13" s="9">
        <f>IF(ISNUMBER(VLOOKUP("1.2.1",A4:Q114,13,FALSE)),VLOOKUP("1.2.1",A4:Q114,13,FALSE),0) + IF(ISNUMBER(VLOOKUP("1.2.2",A4:Q114,13,FALSE)),VLOOKUP("1.2.2",A4:Q114,13,FALSE),0) + IF(ISNUMBER(VLOOKUP("1.2.x",A4:Q114,13,FALSE)),VLOOKUP("1.2.x",A4:Q114,13,FALSE),0)</f>
        <v>0</v>
      </c>
      <c r="N13" s="9">
        <f>IF(ISNUMBER(VLOOKUP("1.2.1",A4:Q114,14,FALSE)),VLOOKUP("1.2.1",A4:Q114,14,FALSE),0) + IF(ISNUMBER(VLOOKUP("1.2.2",A4:Q114,14,FALSE)),VLOOKUP("1.2.2",A4:Q114,14,FALSE),0) + IF(ISNUMBER(VLOOKUP("1.2.x",A4:Q114,14,FALSE)),VLOOKUP("1.2.x",A4:Q114,14,FALSE),0)</f>
        <v>0</v>
      </c>
      <c r="O13" s="9">
        <f>IF(ISNUMBER(VLOOKUP("1.2.1",A4:Q114,15,FALSE)),VLOOKUP("1.2.1",A4:Q114,15,FALSE),0) + IF(ISNUMBER(VLOOKUP("1.2.2",A4:Q114,15,FALSE)),VLOOKUP("1.2.2",A4:Q114,15,FALSE),0) + IF(ISNUMBER(VLOOKUP("1.2.x",A4:Q114,15,FALSE)),VLOOKUP("1.2.x",A4:Q114,15,FALSE),0)</f>
        <v>0</v>
      </c>
      <c r="P13" s="9">
        <f>IF(ISNUMBER(VLOOKUP("1.2.1",A4:Q114,16,FALSE)),VLOOKUP("1.2.1",A4:Q114,16,FALSE),0) + IF(ISNUMBER(VLOOKUP("1.2.2",A4:Q114,16,FALSE)),VLOOKUP("1.2.2",A4:Q114,16,FALSE),0) + IF(ISNUMBER(VLOOKUP("1.2.x",A4:Q114,16,FALSE)),VLOOKUP("1.2.x",A4:Q114,16,FALSE),0)</f>
        <v>0</v>
      </c>
      <c r="Q13" s="9">
        <f>IF(ISNUMBER(VLOOKUP("1.2.1",A4:Q114,17,FALSE)),VLOOKUP("1.2.1",A4:Q114,17,FALSE),0) + IF(ISNUMBER(VLOOKUP("1.2.2",A4:Q114,17,FALSE)),VLOOKUP("1.2.2",A4:Q114,17,FALSE),0) + IF(ISNUMBER(VLOOKUP("1.2.x",A4:Q114,17,FALSE)),VLOOKUP("1.2.x",A4:Q114,17,FALSE),0)</f>
        <v>0</v>
      </c>
    </row>
    <row r="14" spans="1:17" s="6" customFormat="1" ht="14.25" customHeight="1" x14ac:dyDescent="0.2">
      <c r="A14" s="10" t="s">
        <v>37</v>
      </c>
      <c r="B14" s="11" t="s">
        <v>38</v>
      </c>
      <c r="C14" s="12">
        <v>1259199.74</v>
      </c>
      <c r="D14" s="12">
        <v>2089924.85</v>
      </c>
      <c r="E14" s="12">
        <v>2376300</v>
      </c>
      <c r="F14" s="12">
        <v>32615.68</v>
      </c>
      <c r="G14" s="12">
        <v>2347256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s="6" customFormat="1" ht="29.25" customHeight="1" x14ac:dyDescent="0.2">
      <c r="A15" s="10" t="s">
        <v>39</v>
      </c>
      <c r="B15" s="11" t="s">
        <v>40</v>
      </c>
      <c r="C15" s="12">
        <v>4565650.28</v>
      </c>
      <c r="D15" s="12">
        <v>9018267.2200000007</v>
      </c>
      <c r="E15" s="12">
        <v>8158331</v>
      </c>
      <c r="F15" s="12">
        <v>8568869.5299999993</v>
      </c>
      <c r="G15" s="12">
        <v>19645480</v>
      </c>
      <c r="H15" s="12">
        <v>18385106</v>
      </c>
      <c r="I15" s="12">
        <v>4949870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s="6" customFormat="1" ht="12.75" hidden="1" x14ac:dyDescent="0.2">
      <c r="A16" s="10" t="s">
        <v>41</v>
      </c>
      <c r="B16" s="11" t="s">
        <v>34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s="6" customFormat="1" ht="14.25" customHeight="1" x14ac:dyDescent="0.2">
      <c r="A17" s="7" t="s">
        <v>42</v>
      </c>
      <c r="B17" s="8" t="s">
        <v>43</v>
      </c>
      <c r="C17" s="9">
        <f>IF(ISNUMBER(VLOOKUP("2.1",A4:Q114,3,FALSE)),VLOOKUP("2.1",A4:Q114,3,FALSE),0) + IF(ISNUMBER(VLOOKUP("2.2",A4:Q114,3,FALSE)),VLOOKUP("2.2",A4:Q114,3,FALSE),0)</f>
        <v>148468515.62</v>
      </c>
      <c r="D17" s="9">
        <f>IF(ISNUMBER(VLOOKUP("2.1",A4:Q114,4,FALSE)),VLOOKUP("2.1",A4:Q114,4,FALSE),0) + IF(ISNUMBER(VLOOKUP("2.2",A4:Q114,4,FALSE)),VLOOKUP("2.2",A4:Q114,4,FALSE),0)</f>
        <v>150487728.03999999</v>
      </c>
      <c r="E17" s="9">
        <f>IF(ISNUMBER(VLOOKUP("2.1",A4:Q114,5,FALSE)),VLOOKUP("2.1",A4:Q114,5,FALSE),0) + IF(ISNUMBER(VLOOKUP("2.2",A4:Q114,5,FALSE)),VLOOKUP("2.2",A4:Q114,5,FALSE),0)</f>
        <v>162956833</v>
      </c>
      <c r="F17" s="9">
        <f>IF(ISNUMBER(VLOOKUP("2.1",A4:Q114,6,FALSE)),VLOOKUP("2.1",A4:Q114,6,FALSE),0) + IF(ISNUMBER(VLOOKUP("2.2",A4:Q114,6,FALSE)),VLOOKUP("2.2",A4:Q114,6,FALSE),0)</f>
        <v>157413662.94999999</v>
      </c>
      <c r="G17" s="9">
        <f>IF(ISNUMBER(VLOOKUP("2.1",A4:Q114,7,FALSE)),VLOOKUP("2.1",A4:Q114,7,FALSE),0) + IF(ISNUMBER(VLOOKUP("2.2",A4:Q114,7,FALSE)),VLOOKUP("2.2",A4:Q114,7,FALSE),0)</f>
        <v>188350893</v>
      </c>
      <c r="H17" s="9">
        <f>IF(ISNUMBER(VLOOKUP("2.1",A4:Q114,8,FALSE)),VLOOKUP("2.1",A4:Q114,8,FALSE),0) + IF(ISNUMBER(VLOOKUP("2.2",A4:Q114,8,FALSE)),VLOOKUP("2.2",A4:Q114,8,FALSE),0)</f>
        <v>169934420</v>
      </c>
      <c r="I17" s="9">
        <f>IF(ISNUMBER(VLOOKUP("2.1",A4:Q114,9,FALSE)),VLOOKUP("2.1",A4:Q114,9,FALSE),0) + IF(ISNUMBER(VLOOKUP("2.2",A4:Q114,9,FALSE)),VLOOKUP("2.2",A4:Q114,9,FALSE),0)</f>
        <v>159833262</v>
      </c>
      <c r="J17" s="9">
        <f>IF(ISNUMBER(VLOOKUP("2.1",A4:Q114,10,FALSE)),VLOOKUP("2.1",A4:Q114,10,FALSE),0) + IF(ISNUMBER(VLOOKUP("2.2",A4:Q114,10,FALSE)),VLOOKUP("2.2",A4:Q114,10,FALSE),0)</f>
        <v>160266293</v>
      </c>
      <c r="K17" s="9">
        <f>IF(ISNUMBER(VLOOKUP("2.1",A4:Q114,11,FALSE)),VLOOKUP("2.1",A4:Q114,11,FALSE),0) + IF(ISNUMBER(VLOOKUP("2.2",A4:Q114,11,FALSE)),VLOOKUP("2.2",A4:Q114,11,FALSE),0)</f>
        <v>165002741</v>
      </c>
      <c r="L17" s="9">
        <f>IF(ISNUMBER(VLOOKUP("2.1",A4:Q114,12,FALSE)),VLOOKUP("2.1",A4:Q114,12,FALSE),0) + IF(ISNUMBER(VLOOKUP("2.2",A4:Q114,12,FALSE)),VLOOKUP("2.2",A4:Q114,12,FALSE),0)</f>
        <v>170331313</v>
      </c>
      <c r="M17" s="9">
        <f>IF(ISNUMBER(VLOOKUP("2.1",A4:Q114,13,FALSE)),VLOOKUP("2.1",A4:Q114,13,FALSE),0) + IF(ISNUMBER(VLOOKUP("2.2",A4:Q114,13,FALSE)),VLOOKUP("2.2",A4:Q114,13,FALSE),0)</f>
        <v>177145772</v>
      </c>
      <c r="N17" s="9">
        <f>IF(ISNUMBER(VLOOKUP("2.1",A4:Q114,14,FALSE)),VLOOKUP("2.1",A4:Q114,14,FALSE),0) + IF(ISNUMBER(VLOOKUP("2.2",A4:Q114,14,FALSE)),VLOOKUP("2.2",A4:Q114,14,FALSE),0)</f>
        <v>182199072</v>
      </c>
      <c r="O17" s="9">
        <f>IF(ISNUMBER(VLOOKUP("2.1",A4:Q114,15,FALSE)),VLOOKUP("2.1",A4:Q114,15,FALSE),0) + IF(ISNUMBER(VLOOKUP("2.2",A4:Q114,15,FALSE)),VLOOKUP("2.2",A4:Q114,15,FALSE),0)</f>
        <v>186870587</v>
      </c>
      <c r="P17" s="9">
        <f>IF(ISNUMBER(VLOOKUP("2.1",A4:Q114,16,FALSE)),VLOOKUP("2.1",A4:Q114,16,FALSE),0) + IF(ISNUMBER(VLOOKUP("2.2",A4:Q114,16,FALSE)),VLOOKUP("2.2",A4:Q114,16,FALSE),0)</f>
        <v>191511838</v>
      </c>
      <c r="Q17" s="9">
        <f>IF(ISNUMBER(VLOOKUP("2.1",A4:Q114,17,FALSE)),VLOOKUP("2.1",A4:Q114,17,FALSE),0) + IF(ISNUMBER(VLOOKUP("2.2",A4:Q114,17,FALSE)),VLOOKUP("2.2",A4:Q114,17,FALSE),0)</f>
        <v>196646164</v>
      </c>
    </row>
    <row r="18" spans="1:17" s="6" customFormat="1" ht="14.25" customHeight="1" x14ac:dyDescent="0.2">
      <c r="A18" s="7" t="s">
        <v>44</v>
      </c>
      <c r="B18" s="8" t="s">
        <v>45</v>
      </c>
      <c r="C18" s="9">
        <f>IF(ISNUMBER(VLOOKUP("2.1.1",A4:Q114,3,FALSE)),VLOOKUP("2.1.1",A4:Q114,3,FALSE),0) + IF(ISNUMBER(VLOOKUP("2.1.3",A4:Q114,3,FALSE)),VLOOKUP("2.1.3",A4:Q114,3,FALSE),0) + IF(ISNUMBER(VLOOKUP("2.1.x",A4:Q114,3,FALSE)),VLOOKUP("2.1.x",A4:Q114,3,FALSE),0) + IF(ISNUMBER(VLOOKUP("11.1",A4:Q114,3,FALSE)),VLOOKUP("11.1",A4:Q114,3,FALSE),0)</f>
        <v>137408052.56999999</v>
      </c>
      <c r="D18" s="9">
        <f>IF(ISNUMBER(VLOOKUP("2.1.1",A4:Q114,4,FALSE)),VLOOKUP("2.1.1",A4:Q114,4,FALSE),0) + IF(ISNUMBER(VLOOKUP("2.1.3",A4:Q114,4,FALSE)),VLOOKUP("2.1.3",A4:Q114,4,FALSE),0) + IF(ISNUMBER(VLOOKUP("2.1.x",A4:Q114,4,FALSE)),VLOOKUP("2.1.x",A4:Q114,4,FALSE),0) + IF(ISNUMBER(VLOOKUP("11.1",A4:Q114,4,FALSE)),VLOOKUP("11.1",A4:Q114,4,FALSE),0)</f>
        <v>135784603.19</v>
      </c>
      <c r="E18" s="9">
        <f>IF(ISNUMBER(VLOOKUP("2.1.1",A4:Q114,5,FALSE)),VLOOKUP("2.1.1",A4:Q114,5,FALSE),0) + IF(ISNUMBER(VLOOKUP("2.1.3",A4:Q114,5,FALSE)),VLOOKUP("2.1.3",A4:Q114,5,FALSE),0) + IF(ISNUMBER(VLOOKUP("2.1.x",A4:Q114,5,FALSE)),VLOOKUP("2.1.x",A4:Q114,5,FALSE),0) + IF(ISNUMBER(VLOOKUP("11.1",A4:Q114,5,FALSE)),VLOOKUP("11.1",A4:Q114,5,FALSE),0)</f>
        <v>144323627</v>
      </c>
      <c r="F18" s="9">
        <f>IF(ISNUMBER(VLOOKUP("2.1.1",A4:Q114,6,FALSE)),VLOOKUP("2.1.1",A4:Q114,6,FALSE),0) + IF(ISNUMBER(VLOOKUP("2.1.3",A4:Q114,6,FALSE)),VLOOKUP("2.1.3",A4:Q114,6,FALSE),0) + IF(ISNUMBER(VLOOKUP("2.1.x",A4:Q114,6,FALSE)),VLOOKUP("2.1.x",A4:Q114,6,FALSE),0) + IF(ISNUMBER(VLOOKUP("11.1",A4:Q114,6,FALSE)),VLOOKUP("11.1",A4:Q114,6,FALSE),0)</f>
        <v>139864070.00999999</v>
      </c>
      <c r="G18" s="9">
        <f>IF(ISNUMBER(VLOOKUP("2.1.1",A4:Q114,7,FALSE)),VLOOKUP("2.1.1",A4:Q114,7,FALSE),0) + IF(ISNUMBER(VLOOKUP("2.1.3",A4:Q114,7,FALSE)),VLOOKUP("2.1.3",A4:Q114,7,FALSE),0) + IF(ISNUMBER(VLOOKUP("2.1.x",A4:Q114,7,FALSE)),VLOOKUP("2.1.x",A4:Q114,7,FALSE),0) + IF(ISNUMBER(VLOOKUP("11.1",A4:Q114,7,FALSE)),VLOOKUP("11.1",A4:Q114,7,FALSE),0)</f>
        <v>150428163</v>
      </c>
      <c r="H18" s="9">
        <f>IF(ISNUMBER(VLOOKUP("2.1.1",A4:Q114,8,FALSE)),VLOOKUP("2.1.1",A4:Q114,8,FALSE),0) + IF(ISNUMBER(VLOOKUP("2.1.3",A4:Q114,8,FALSE)),VLOOKUP("2.1.3",A4:Q114,8,FALSE),0) + IF(ISNUMBER(VLOOKUP("2.1.x",A4:Q114,8,FALSE)),VLOOKUP("2.1.x",A4:Q114,8,FALSE),0) + IF(ISNUMBER(VLOOKUP("11.1",A4:Q114,8,FALSE)),VLOOKUP("11.1",A4:Q114,8,FALSE),0)</f>
        <v>144282629</v>
      </c>
      <c r="I18" s="9">
        <f>IF(ISNUMBER(VLOOKUP("2.1.1",A4:Q114,9,FALSE)),VLOOKUP("2.1.1",A4:Q114,9,FALSE),0) + IF(ISNUMBER(VLOOKUP("2.1.3",A4:Q114,9,FALSE)),VLOOKUP("2.1.3",A4:Q114,9,FALSE),0) + IF(ISNUMBER(VLOOKUP("2.1.x",A4:Q114,9,FALSE)),VLOOKUP("2.1.x",A4:Q114,9,FALSE),0) + IF(ISNUMBER(VLOOKUP("11.1",A4:Q114,9,FALSE)),VLOOKUP("11.1",A4:Q114,9,FALSE),0)</f>
        <v>146936312</v>
      </c>
      <c r="J18" s="9">
        <f>IF(ISNUMBER(VLOOKUP("2.1.1",A4:Q114,10,FALSE)),VLOOKUP("2.1.1",A4:Q114,10,FALSE),0) + IF(ISNUMBER(VLOOKUP("2.1.3",A4:Q114,10,FALSE)),VLOOKUP("2.1.3",A4:Q114,10,FALSE),0) + IF(ISNUMBER(VLOOKUP("2.1.x",A4:Q114,10,FALSE)),VLOOKUP("2.1.x",A4:Q114,10,FALSE),0) + IF(ISNUMBER(VLOOKUP("11.1",A4:Q114,10,FALSE)),VLOOKUP("11.1",A4:Q114,10,FALSE),0)</f>
        <v>150083607</v>
      </c>
      <c r="K18" s="9">
        <f>IF(ISNUMBER(VLOOKUP("2.1.1",A4:Q114,11,FALSE)),VLOOKUP("2.1.1",A4:Q114,11,FALSE),0) + IF(ISNUMBER(VLOOKUP("2.1.3",A4:Q114,11,FALSE)),VLOOKUP("2.1.3",A4:Q114,11,FALSE),0) + IF(ISNUMBER(VLOOKUP("2.1.x",A4:Q114,11,FALSE)),VLOOKUP("2.1.x",A4:Q114,11,FALSE),0) + IF(ISNUMBER(VLOOKUP("11.1",A4:Q114,11,FALSE)),VLOOKUP("11.1",A4:Q114,11,FALSE),0)</f>
        <v>153699791</v>
      </c>
      <c r="L18" s="9">
        <f>IF(ISNUMBER(VLOOKUP("2.1.1",A4:Q114,12,FALSE)),VLOOKUP("2.1.1",A4:Q114,12,FALSE),0) + IF(ISNUMBER(VLOOKUP("2.1.3",A4:Q114,12,FALSE)),VLOOKUP("2.1.3",A4:Q114,12,FALSE),0) + IF(ISNUMBER(VLOOKUP("2.1.x",A4:Q114,12,FALSE)),VLOOKUP("2.1.x",A4:Q114,12,FALSE),0) + IF(ISNUMBER(VLOOKUP("11.1",A4:Q114,12,FALSE)),VLOOKUP("11.1",A4:Q114,12,FALSE),0)</f>
        <v>157402124</v>
      </c>
      <c r="M18" s="9">
        <f>IF(ISNUMBER(VLOOKUP("2.1.1",A4:Q114,13,FALSE)),VLOOKUP("2.1.1",A4:Q114,13,FALSE),0) + IF(ISNUMBER(VLOOKUP("2.1.3",A4:Q114,13,FALSE)),VLOOKUP("2.1.3",A4:Q114,13,FALSE),0) + IF(ISNUMBER(VLOOKUP("2.1.x",A4:Q114,13,FALSE)),VLOOKUP("2.1.x",A4:Q114,13,FALSE),0) + IF(ISNUMBER(VLOOKUP("11.1",A4:Q114,13,FALSE)),VLOOKUP("11.1",A4:Q114,13,FALSE),0)</f>
        <v>161209617</v>
      </c>
      <c r="N18" s="9">
        <f>IF(ISNUMBER(VLOOKUP("2.1.1",A4:Q114,14,FALSE)),VLOOKUP("2.1.1",A4:Q114,14,FALSE),0) + IF(ISNUMBER(VLOOKUP("2.1.3",A4:Q114,14,FALSE)),VLOOKUP("2.1.3",A4:Q114,14,FALSE),0) + IF(ISNUMBER(VLOOKUP("2.1.x",A4:Q114,14,FALSE)),VLOOKUP("2.1.x",A4:Q114,14,FALSE),0) + IF(ISNUMBER(VLOOKUP("11.1",A4:Q114,14,FALSE)),VLOOKUP("11.1",A4:Q114,14,FALSE),0)</f>
        <v>165180191</v>
      </c>
      <c r="O18" s="9">
        <f>IF(ISNUMBER(VLOOKUP("2.1.1",A4:Q114,15,FALSE)),VLOOKUP("2.1.1",A4:Q114,15,FALSE),0) + IF(ISNUMBER(VLOOKUP("2.1.3",A4:Q114,15,FALSE)),VLOOKUP("2.1.3",A4:Q114,15,FALSE),0) + IF(ISNUMBER(VLOOKUP("2.1.x",A4:Q114,15,FALSE)),VLOOKUP("2.1.x",A4:Q114,15,FALSE),0) + IF(ISNUMBER(VLOOKUP("11.1",A4:Q114,15,FALSE)),VLOOKUP("11.1",A4:Q114,15,FALSE),0)</f>
        <v>169258543</v>
      </c>
      <c r="P18" s="9">
        <f>IF(ISNUMBER(VLOOKUP("2.1.1",A4:Q114,16,FALSE)),VLOOKUP("2.1.1",A4:Q114,16,FALSE),0) + IF(ISNUMBER(VLOOKUP("2.1.3",A4:Q114,16,FALSE)),VLOOKUP("2.1.3",A4:Q114,16,FALSE),0) + IF(ISNUMBER(VLOOKUP("2.1.x",A4:Q114,16,FALSE)),VLOOKUP("2.1.x",A4:Q114,16,FALSE),0) + IF(ISNUMBER(VLOOKUP("11.1",A4:Q114,16,FALSE)),VLOOKUP("11.1",A4:Q114,16,FALSE),0)</f>
        <v>173442928</v>
      </c>
      <c r="Q18" s="9">
        <f>IF(ISNUMBER(VLOOKUP("2.1.1",A4:Q114,17,FALSE)),VLOOKUP("2.1.1",A4:Q114,17,FALSE),0) + IF(ISNUMBER(VLOOKUP("2.1.3",A4:Q114,17,FALSE)),VLOOKUP("2.1.3",A4:Q114,17,FALSE),0) + IF(ISNUMBER(VLOOKUP("2.1.x",A4:Q114,17,FALSE)),VLOOKUP("2.1.x",A4:Q114,17,FALSE),0) + IF(ISNUMBER(VLOOKUP("11.1",A4:Q114,17,FALSE)),VLOOKUP("11.1",A4:Q114,17,FALSE),0)</f>
        <v>177578408</v>
      </c>
    </row>
    <row r="19" spans="1:17" s="6" customFormat="1" ht="14.25" customHeight="1" x14ac:dyDescent="0.2">
      <c r="A19" s="10" t="s">
        <v>46</v>
      </c>
      <c r="B19" s="11" t="s">
        <v>47</v>
      </c>
      <c r="C19" s="12">
        <v>0</v>
      </c>
      <c r="D19" s="12">
        <v>0</v>
      </c>
      <c r="E19" s="12">
        <v>1103524</v>
      </c>
      <c r="F19" s="12">
        <v>0</v>
      </c>
      <c r="G19" s="12">
        <v>1080623</v>
      </c>
      <c r="H19" s="12">
        <v>1058722</v>
      </c>
      <c r="I19" s="12">
        <v>782367</v>
      </c>
      <c r="J19" s="12">
        <v>409412</v>
      </c>
      <c r="K19" s="12">
        <v>394412</v>
      </c>
      <c r="L19" s="12">
        <v>380412</v>
      </c>
      <c r="M19" s="12">
        <v>365412</v>
      </c>
      <c r="N19" s="12">
        <v>351412</v>
      </c>
      <c r="O19" s="12">
        <v>336412</v>
      </c>
      <c r="P19" s="12">
        <v>322412</v>
      </c>
      <c r="Q19" s="12">
        <v>145408</v>
      </c>
    </row>
    <row r="20" spans="1:17" s="6" customFormat="1" ht="39.75" customHeight="1" x14ac:dyDescent="0.2">
      <c r="A20" s="10" t="s">
        <v>48</v>
      </c>
      <c r="B20" s="11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s="6" customFormat="1" ht="76.5" customHeight="1" x14ac:dyDescent="0.2">
      <c r="A21" s="10" t="s">
        <v>50</v>
      </c>
      <c r="B21" s="11" t="s">
        <v>51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 t="s">
        <v>52</v>
      </c>
      <c r="J21" s="12" t="s">
        <v>52</v>
      </c>
      <c r="K21" s="12" t="s">
        <v>52</v>
      </c>
      <c r="L21" s="12" t="s">
        <v>52</v>
      </c>
      <c r="M21" s="12" t="s">
        <v>52</v>
      </c>
      <c r="N21" s="12" t="s">
        <v>52</v>
      </c>
      <c r="O21" s="12" t="s">
        <v>52</v>
      </c>
      <c r="P21" s="12" t="s">
        <v>52</v>
      </c>
      <c r="Q21" s="12" t="s">
        <v>52</v>
      </c>
    </row>
    <row r="22" spans="1:17" s="6" customFormat="1" ht="14.25" customHeight="1" x14ac:dyDescent="0.2">
      <c r="A22" s="10" t="s">
        <v>53</v>
      </c>
      <c r="B22" s="11" t="s">
        <v>54</v>
      </c>
      <c r="C22" s="12">
        <v>1101286.48</v>
      </c>
      <c r="D22" s="12">
        <v>806948.78</v>
      </c>
      <c r="E22" s="12">
        <v>694237</v>
      </c>
      <c r="F22" s="12">
        <v>680205.12</v>
      </c>
      <c r="G22" s="12">
        <v>655346</v>
      </c>
      <c r="H22" s="12">
        <v>734238</v>
      </c>
      <c r="I22" s="12">
        <v>529504</v>
      </c>
      <c r="J22" s="12">
        <v>409143</v>
      </c>
      <c r="K22" s="12">
        <v>308701</v>
      </c>
      <c r="L22" s="12">
        <v>200117</v>
      </c>
      <c r="M22" s="12">
        <v>102070</v>
      </c>
      <c r="N22" s="12">
        <v>68091</v>
      </c>
      <c r="O22" s="12">
        <v>42426</v>
      </c>
      <c r="P22" s="12">
        <v>18819</v>
      </c>
      <c r="Q22" s="12">
        <v>3760</v>
      </c>
    </row>
    <row r="23" spans="1:17" s="6" customFormat="1" ht="27" customHeight="1" x14ac:dyDescent="0.2">
      <c r="A23" s="10" t="s">
        <v>55</v>
      </c>
      <c r="B23" s="11" t="s">
        <v>56</v>
      </c>
      <c r="C23" s="12">
        <v>1101286.48</v>
      </c>
      <c r="D23" s="12">
        <v>806948.78</v>
      </c>
      <c r="E23" s="12">
        <v>694237</v>
      </c>
      <c r="F23" s="12">
        <v>680205.12</v>
      </c>
      <c r="G23" s="12">
        <v>655346</v>
      </c>
      <c r="H23" s="12">
        <v>734238</v>
      </c>
      <c r="I23" s="12">
        <v>529504</v>
      </c>
      <c r="J23" s="12">
        <v>409143</v>
      </c>
      <c r="K23" s="12">
        <v>308701</v>
      </c>
      <c r="L23" s="12">
        <v>200117</v>
      </c>
      <c r="M23" s="12">
        <v>102070</v>
      </c>
      <c r="N23" s="12">
        <v>68091</v>
      </c>
      <c r="O23" s="12">
        <v>42426</v>
      </c>
      <c r="P23" s="12">
        <v>18819</v>
      </c>
      <c r="Q23" s="12">
        <v>3760</v>
      </c>
    </row>
    <row r="24" spans="1:17" s="6" customFormat="1" ht="78.75" customHeight="1" x14ac:dyDescent="0.2">
      <c r="A24" s="10" t="s">
        <v>57</v>
      </c>
      <c r="B24" s="11" t="s">
        <v>58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s="6" customFormat="1" ht="39.950000000000003" customHeight="1" x14ac:dyDescent="0.2">
      <c r="A25" s="10" t="s">
        <v>59</v>
      </c>
      <c r="B25" s="11" t="s">
        <v>60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s="6" customFormat="1" ht="12.75" hidden="1" x14ac:dyDescent="0.2">
      <c r="A26" s="10" t="s">
        <v>61</v>
      </c>
      <c r="B26" s="11" t="s">
        <v>34</v>
      </c>
      <c r="C26" s="12">
        <v>136306766.09</v>
      </c>
      <c r="D26" s="12">
        <v>59031034.549999997</v>
      </c>
      <c r="E26" s="12">
        <v>66252716</v>
      </c>
      <c r="F26" s="12">
        <v>62387952.210000001</v>
      </c>
      <c r="G26" s="12">
        <v>64740875</v>
      </c>
      <c r="H26" s="12">
        <v>62904111</v>
      </c>
      <c r="I26" s="12">
        <v>64288001</v>
      </c>
      <c r="J26" s="12">
        <v>65895201</v>
      </c>
      <c r="K26" s="12">
        <v>67542581</v>
      </c>
      <c r="L26" s="12">
        <v>69231146</v>
      </c>
      <c r="M26" s="12">
        <v>70961925</v>
      </c>
      <c r="N26" s="12">
        <v>72735973</v>
      </c>
      <c r="O26" s="12">
        <v>74554372</v>
      </c>
      <c r="P26" s="12">
        <v>76418231</v>
      </c>
      <c r="Q26" s="12">
        <v>78328687</v>
      </c>
    </row>
    <row r="27" spans="1:17" s="6" customFormat="1" ht="14.25" customHeight="1" x14ac:dyDescent="0.2">
      <c r="A27" s="7" t="s">
        <v>62</v>
      </c>
      <c r="B27" s="8" t="s">
        <v>63</v>
      </c>
      <c r="C27" s="9">
        <f>IF(ISNUMBER(VLOOKUP("11.4",A4:Q114,3,FALSE)),VLOOKUP("11.4",A4:Q114,3,FALSE),0) + IF(ISNUMBER(VLOOKUP("11.5",A4:Q114,3,FALSE)),VLOOKUP("11.5",A4:Q114,3,FALSE),0) + IF(ISNUMBER(VLOOKUP("11.6",A4:Q114,3,FALSE)),VLOOKUP("11.6",A4:Q114,3,FALSE),0) + IF(ISNUMBER(VLOOKUP("11.x",A4:Q114,3,FALSE)),VLOOKUP("11.x",A4:Q114,3,FALSE),0)</f>
        <v>11060463.050000001</v>
      </c>
      <c r="D27" s="9">
        <f>IF(ISNUMBER(VLOOKUP("11.4",A4:Q114,4,FALSE)),VLOOKUP("11.4",A4:Q114,4,FALSE),0) + IF(ISNUMBER(VLOOKUP("11.5",A4:Q114,4,FALSE)),VLOOKUP("11.5",A4:Q114,4,FALSE),0) + IF(ISNUMBER(VLOOKUP("11.6",A4:Q114,4,FALSE)),VLOOKUP("11.6",A4:Q114,4,FALSE),0) + IF(ISNUMBER(VLOOKUP("11.x",A4:Q114,4,FALSE)),VLOOKUP("11.x",A4:Q114,4,FALSE),0)</f>
        <v>14703124.85</v>
      </c>
      <c r="E27" s="9">
        <f>IF(ISNUMBER(VLOOKUP("11.4",A4:Q114,5,FALSE)),VLOOKUP("11.4",A4:Q114,5,FALSE),0) + IF(ISNUMBER(VLOOKUP("11.5",A4:Q114,5,FALSE)),VLOOKUP("11.5",A4:Q114,5,FALSE),0) + IF(ISNUMBER(VLOOKUP("11.6",A4:Q114,5,FALSE)),VLOOKUP("11.6",A4:Q114,5,FALSE),0) + IF(ISNUMBER(VLOOKUP("11.x",A4:Q114,5,FALSE)),VLOOKUP("11.x",A4:Q114,5,FALSE),0)</f>
        <v>18633206</v>
      </c>
      <c r="F27" s="9">
        <f>IF(ISNUMBER(VLOOKUP("11.4",A4:Q114,6,FALSE)),VLOOKUP("11.4",A4:Q114,6,FALSE),0) + IF(ISNUMBER(VLOOKUP("11.5",A4:Q114,6,FALSE)),VLOOKUP("11.5",A4:Q114,6,FALSE),0) + IF(ISNUMBER(VLOOKUP("11.6",A4:Q114,6,FALSE)),VLOOKUP("11.6",A4:Q114,6,FALSE),0) + IF(ISNUMBER(VLOOKUP("11.x",A4:Q114,6,FALSE)),VLOOKUP("11.x",A4:Q114,6,FALSE),0)</f>
        <v>17549592.939999998</v>
      </c>
      <c r="G27" s="9">
        <f>IF(ISNUMBER(VLOOKUP("11.4",A4:Q114,7,FALSE)),VLOOKUP("11.4",A4:Q114,7,FALSE),0) + IF(ISNUMBER(VLOOKUP("11.5",A4:Q114,7,FALSE)),VLOOKUP("11.5",A4:Q114,7,FALSE),0) + IF(ISNUMBER(VLOOKUP("11.6",A4:Q114,7,FALSE)),VLOOKUP("11.6",A4:Q114,7,FALSE),0) + IF(ISNUMBER(VLOOKUP("11.x",A4:Q114,7,FALSE)),VLOOKUP("11.x",A4:Q114,7,FALSE),0)</f>
        <v>37922730</v>
      </c>
      <c r="H27" s="9">
        <f>IF(ISNUMBER(VLOOKUP("11.4",A4:Q114,8,FALSE)),VLOOKUP("11.4",A4:Q114,8,FALSE),0) + IF(ISNUMBER(VLOOKUP("11.5",A4:Q114,8,FALSE)),VLOOKUP("11.5",A4:Q114,8,FALSE),0) + IF(ISNUMBER(VLOOKUP("11.6",A4:Q114,8,FALSE)),VLOOKUP("11.6",A4:Q114,8,FALSE),0) + IF(ISNUMBER(VLOOKUP("11.x",A4:Q114,8,FALSE)),VLOOKUP("11.x",A4:Q114,8,FALSE),0)</f>
        <v>25651791</v>
      </c>
      <c r="I27" s="9">
        <f>IF(ISNUMBER(VLOOKUP("11.4",A4:Q114,9,FALSE)),VLOOKUP("11.4",A4:Q114,9,FALSE),0) + IF(ISNUMBER(VLOOKUP("11.5",A4:Q114,9,FALSE)),VLOOKUP("11.5",A4:Q114,9,FALSE),0) + IF(ISNUMBER(VLOOKUP("11.6",A4:Q114,9,FALSE)),VLOOKUP("11.6",A4:Q114,9,FALSE),0) + IF(ISNUMBER(VLOOKUP("11.x",A4:Q114,9,FALSE)),VLOOKUP("11.x",A4:Q114,9,FALSE),0)</f>
        <v>12896950</v>
      </c>
      <c r="J27" s="9">
        <f>IF(ISNUMBER(VLOOKUP("11.4",A4:Q114,10,FALSE)),VLOOKUP("11.4",A4:Q114,10,FALSE),0) + IF(ISNUMBER(VLOOKUP("11.5",A4:Q114,10,FALSE)),VLOOKUP("11.5",A4:Q114,10,FALSE),0) + IF(ISNUMBER(VLOOKUP("11.6",A4:Q114,10,FALSE)),VLOOKUP("11.6",A4:Q114,10,FALSE),0) + IF(ISNUMBER(VLOOKUP("11.x",A4:Q114,10,FALSE)),VLOOKUP("11.x",A4:Q114,10,FALSE),0)</f>
        <v>10182686</v>
      </c>
      <c r="K27" s="9">
        <f>IF(ISNUMBER(VLOOKUP("11.4",A4:Q114,11,FALSE)),VLOOKUP("11.4",A4:Q114,11,FALSE),0) + IF(ISNUMBER(VLOOKUP("11.5",A4:Q114,11,FALSE)),VLOOKUP("11.5",A4:Q114,11,FALSE),0) + IF(ISNUMBER(VLOOKUP("11.6",A4:Q114,11,FALSE)),VLOOKUP("11.6",A4:Q114,11,FALSE),0) + IF(ISNUMBER(VLOOKUP("11.x",A4:Q114,11,FALSE)),VLOOKUP("11.x",A4:Q114,11,FALSE),0)</f>
        <v>11302950</v>
      </c>
      <c r="L27" s="9">
        <f>IF(ISNUMBER(VLOOKUP("11.4",A4:Q114,12,FALSE)),VLOOKUP("11.4",A4:Q114,12,FALSE),0) + IF(ISNUMBER(VLOOKUP("11.5",A4:Q114,12,FALSE)),VLOOKUP("11.5",A4:Q114,12,FALSE),0) + IF(ISNUMBER(VLOOKUP("11.6",A4:Q114,12,FALSE)),VLOOKUP("11.6",A4:Q114,12,FALSE),0) + IF(ISNUMBER(VLOOKUP("11.x",A4:Q114,12,FALSE)),VLOOKUP("11.x",A4:Q114,12,FALSE),0)</f>
        <v>12929189</v>
      </c>
      <c r="M27" s="9">
        <f>IF(ISNUMBER(VLOOKUP("11.4",A4:Q114,13,FALSE)),VLOOKUP("11.4",A4:Q114,13,FALSE),0) + IF(ISNUMBER(VLOOKUP("11.5",A4:Q114,13,FALSE)),VLOOKUP("11.5",A4:Q114,13,FALSE),0) + IF(ISNUMBER(VLOOKUP("11.6",A4:Q114,13,FALSE)),VLOOKUP("11.6",A4:Q114,13,FALSE),0) + IF(ISNUMBER(VLOOKUP("11.x",A4:Q114,13,FALSE)),VLOOKUP("11.x",A4:Q114,13,FALSE),0)</f>
        <v>15936155</v>
      </c>
      <c r="N27" s="9">
        <f>IF(ISNUMBER(VLOOKUP("11.4",A4:Q114,14,FALSE)),VLOOKUP("11.4",A4:Q114,14,FALSE),0) + IF(ISNUMBER(VLOOKUP("11.5",A4:Q114,14,FALSE)),VLOOKUP("11.5",A4:Q114,14,FALSE),0) + IF(ISNUMBER(VLOOKUP("11.6",A4:Q114,14,FALSE)),VLOOKUP("11.6",A4:Q114,14,FALSE),0) + IF(ISNUMBER(VLOOKUP("11.x",A4:Q114,14,FALSE)),VLOOKUP("11.x",A4:Q114,14,FALSE),0)</f>
        <v>17018881</v>
      </c>
      <c r="O27" s="9">
        <f>IF(ISNUMBER(VLOOKUP("11.4",A4:Q114,15,FALSE)),VLOOKUP("11.4",A4:Q114,15,FALSE),0) + IF(ISNUMBER(VLOOKUP("11.5",A4:Q114,15,FALSE)),VLOOKUP("11.5",A4:Q114,15,FALSE),0) + IF(ISNUMBER(VLOOKUP("11.6",A4:Q114,15,FALSE)),VLOOKUP("11.6",A4:Q114,15,FALSE),0) + IF(ISNUMBER(VLOOKUP("11.x",A4:Q114,15,FALSE)),VLOOKUP("11.x",A4:Q114,15,FALSE),0)</f>
        <v>17612044</v>
      </c>
      <c r="P27" s="9">
        <f>IF(ISNUMBER(VLOOKUP("11.4",A4:Q114,16,FALSE)),VLOOKUP("11.4",A4:Q114,16,FALSE),0) + IF(ISNUMBER(VLOOKUP("11.5",A4:Q114,16,FALSE)),VLOOKUP("11.5",A4:Q114,16,FALSE),0) + IF(ISNUMBER(VLOOKUP("11.6",A4:Q114,16,FALSE)),VLOOKUP("11.6",A4:Q114,16,FALSE),0) + IF(ISNUMBER(VLOOKUP("11.x",A4:Q114,16,FALSE)),VLOOKUP("11.x",A4:Q114,16,FALSE),0)</f>
        <v>18068910</v>
      </c>
      <c r="Q27" s="9">
        <f>IF(ISNUMBER(VLOOKUP("11.4",A4:Q114,17,FALSE)),VLOOKUP("11.4",A4:Q114,17,FALSE),0) + IF(ISNUMBER(VLOOKUP("11.5",A4:Q114,17,FALSE)),VLOOKUP("11.5",A4:Q114,17,FALSE),0) + IF(ISNUMBER(VLOOKUP("11.6",A4:Q114,17,FALSE)),VLOOKUP("11.6",A4:Q114,17,FALSE),0) + IF(ISNUMBER(VLOOKUP("11.x",A4:Q114,17,FALSE)),VLOOKUP("11.x",A4:Q114,17,FALSE),0)</f>
        <v>19067756</v>
      </c>
    </row>
    <row r="28" spans="1:17" s="6" customFormat="1" ht="14.25" customHeight="1" x14ac:dyDescent="0.2">
      <c r="A28" s="7" t="s">
        <v>64</v>
      </c>
      <c r="B28" s="8" t="s">
        <v>65</v>
      </c>
      <c r="C28" s="9">
        <f>IF(ISNUMBER(VLOOKUP("1",A4:Q114,3,FALSE)),VLOOKUP("1",A4:Q114,3,FALSE),0) -IF(ISNUMBER(VLOOKUP("2",A4:Q114,3,FALSE)),VLOOKUP("2",A4:Q114,3,FALSE),0)</f>
        <v>3067704.4500000179</v>
      </c>
      <c r="D28" s="9">
        <f>IF(ISNUMBER(VLOOKUP("1",A4:Q114,4,FALSE)),VLOOKUP("1",A4:Q114,4,FALSE),0) -IF(ISNUMBER(VLOOKUP("2",A4:Q114,4,FALSE)),VLOOKUP("2",A4:Q114,4,FALSE),0)</f>
        <v>6091807.1699999869</v>
      </c>
      <c r="E28" s="9">
        <f>IF(ISNUMBER(VLOOKUP("1",A4:Q114,5,FALSE)),VLOOKUP("1",A4:Q114,5,FALSE),0) -IF(ISNUMBER(VLOOKUP("2",A4:Q114,5,FALSE)),VLOOKUP("2",A4:Q114,5,FALSE),0)</f>
        <v>-1068586</v>
      </c>
      <c r="F28" s="9">
        <f>IF(ISNUMBER(VLOOKUP("1",A4:Q114,6,FALSE)),VLOOKUP("1",A4:Q114,6,FALSE),0) -IF(ISNUMBER(VLOOKUP("2",A4:Q114,6,FALSE)),VLOOKUP("2",A4:Q114,6,FALSE),0)</f>
        <v>6496798.4600000083</v>
      </c>
      <c r="G28" s="9">
        <f>IF(ISNUMBER(VLOOKUP("1",A4:Q114,7,FALSE)),VLOOKUP("1",A4:Q114,7,FALSE),0) -IF(ISNUMBER(VLOOKUP("2",A4:Q114,7,FALSE)),VLOOKUP("2",A4:Q114,7,FALSE),0)</f>
        <v>-8667279</v>
      </c>
      <c r="H28" s="9">
        <f>IF(ISNUMBER(VLOOKUP("1",A4:Q114,8,FALSE)),VLOOKUP("1",A4:Q114,8,FALSE),0) -IF(ISNUMBER(VLOOKUP("2",A4:Q114,8,FALSE)),VLOOKUP("2",A4:Q114,8,FALSE),0)</f>
        <v>5287430</v>
      </c>
      <c r="I28" s="9">
        <f>IF(ISNUMBER(VLOOKUP("1",A4:Q114,9,FALSE)),VLOOKUP("1",A4:Q114,9,FALSE),0) -IF(ISNUMBER(VLOOKUP("2",A4:Q114,9,FALSE)),VLOOKUP("2",A4:Q114,9,FALSE),0)</f>
        <v>5285345</v>
      </c>
      <c r="J28" s="9">
        <f>IF(ISNUMBER(VLOOKUP("1",A4:Q114,10,FALSE)),VLOOKUP("1",A4:Q114,10,FALSE),0) -IF(ISNUMBER(VLOOKUP("2",A4:Q114,10,FALSE)),VLOOKUP("2",A4:Q114,10,FALSE),0)</f>
        <v>4544486</v>
      </c>
      <c r="K28" s="9">
        <f>IF(ISNUMBER(VLOOKUP("1",A4:Q114,11,FALSE)),VLOOKUP("1",A4:Q114,11,FALSE),0) -IF(ISNUMBER(VLOOKUP("2",A4:Q114,11,FALSE)),VLOOKUP("2",A4:Q114,11,FALSE),0)</f>
        <v>4471287</v>
      </c>
      <c r="L28" s="9">
        <f>IF(ISNUMBER(VLOOKUP("1",A4:Q114,12,FALSE)),VLOOKUP("1",A4:Q114,12,FALSE),0) -IF(ISNUMBER(VLOOKUP("2",A4:Q114,12,FALSE)),VLOOKUP("2",A4:Q114,12,FALSE),0)</f>
        <v>3853703</v>
      </c>
      <c r="M28" s="9">
        <f>IF(ISNUMBER(VLOOKUP("1",A4:Q114,13,FALSE)),VLOOKUP("1",A4:Q114,13,FALSE),0) -IF(ISNUMBER(VLOOKUP("2",A4:Q114,13,FALSE)),VLOOKUP("2",A4:Q114,13,FALSE),0)</f>
        <v>1577984</v>
      </c>
      <c r="N28" s="9">
        <f>IF(ISNUMBER(VLOOKUP("1",A4:Q114,14,FALSE)),VLOOKUP("1",A4:Q114,14,FALSE),0) -IF(ISNUMBER(VLOOKUP("2",A4:Q114,14,FALSE)),VLOOKUP("2",A4:Q114,14,FALSE),0)</f>
        <v>1084532</v>
      </c>
      <c r="O28" s="9">
        <f>IF(ISNUMBER(VLOOKUP("1",A4:Q114,15,FALSE)),VLOOKUP("1",A4:Q114,15,FALSE),0) -IF(ISNUMBER(VLOOKUP("2",A4:Q114,15,FALSE)),VLOOKUP("2",A4:Q114,15,FALSE),0)</f>
        <v>987324</v>
      </c>
      <c r="P28" s="9">
        <f>IF(ISNUMBER(VLOOKUP("1",A4:Q114,16,FALSE)),VLOOKUP("1",A4:Q114,16,FALSE),0) -IF(ISNUMBER(VLOOKUP("2",A4:Q114,16,FALSE)),VLOOKUP("2",A4:Q114,16,FALSE),0)</f>
        <v>927969</v>
      </c>
      <c r="Q28" s="9">
        <f>IF(ISNUMBER(VLOOKUP("1",A4:Q114,17,FALSE)),VLOOKUP("1",A4:Q114,17,FALSE),0) -IF(ISNUMBER(VLOOKUP("2",A4:Q114,17,FALSE)),VLOOKUP("2",A4:Q114,17,FALSE),0)</f>
        <v>376060</v>
      </c>
    </row>
    <row r="29" spans="1:17" s="6" customFormat="1" ht="14.25" customHeight="1" x14ac:dyDescent="0.2">
      <c r="A29" s="7" t="s">
        <v>66</v>
      </c>
      <c r="B29" s="8" t="s">
        <v>67</v>
      </c>
      <c r="C29" s="9">
        <f>IF(ISNUMBER(VLOOKUP("4.1",A4:Q114,3,FALSE)),VLOOKUP("4.1",A4:Q114,3,FALSE),0) + IF(ISNUMBER(VLOOKUP("4.2",A4:Q114,3,FALSE)),VLOOKUP("4.2",A4:Q114,3,FALSE),0) + IF(ISNUMBER(VLOOKUP("4.3",A4:Q114,3,FALSE)),VLOOKUP("4.3",A4:Q114,3,FALSE),0) + IF(ISNUMBER(VLOOKUP("4.4",A4:Q114,3,FALSE)),VLOOKUP("4.4",A4:Q114,3,FALSE),0)</f>
        <v>1304229.2</v>
      </c>
      <c r="D29" s="9">
        <f>IF(ISNUMBER(VLOOKUP("4.1",A4:Q114,4,FALSE)),VLOOKUP("4.1",A4:Q114,4,FALSE),0) + IF(ISNUMBER(VLOOKUP("4.2",A4:Q114,4,FALSE)),VLOOKUP("4.2",A4:Q114,4,FALSE),0) + IF(ISNUMBER(VLOOKUP("4.3",A4:Q114,4,FALSE)),VLOOKUP("4.3",A4:Q114,4,FALSE),0) + IF(ISNUMBER(VLOOKUP("4.4",A4:Q114,4,FALSE)),VLOOKUP("4.4",A4:Q114,4,FALSE),0)</f>
        <v>1253972.79</v>
      </c>
      <c r="E29" s="9">
        <f>IF(ISNUMBER(VLOOKUP("4.1",A4:Q114,5,FALSE)),VLOOKUP("4.1",A4:Q114,5,FALSE),0) + IF(ISNUMBER(VLOOKUP("4.2",A4:Q114,5,FALSE)),VLOOKUP("4.2",A4:Q114,5,FALSE),0) + IF(ISNUMBER(VLOOKUP("4.3",A4:Q114,5,FALSE)),VLOOKUP("4.3",A4:Q114,5,FALSE),0) + IF(ISNUMBER(VLOOKUP("4.4",A4:Q114,5,FALSE)),VLOOKUP("4.4",A4:Q114,5,FALSE),0)</f>
        <v>6239254</v>
      </c>
      <c r="F29" s="9">
        <f>IF(ISNUMBER(VLOOKUP("4.1",A4:Q114,6,FALSE)),VLOOKUP("4.1",A4:Q114,6,FALSE),0) + IF(ISNUMBER(VLOOKUP("4.2",A4:Q114,6,FALSE)),VLOOKUP("4.2",A4:Q114,6,FALSE),0) + IF(ISNUMBER(VLOOKUP("4.3",A4:Q114,6,FALSE)),VLOOKUP("4.3",A4:Q114,6,FALSE),0) + IF(ISNUMBER(VLOOKUP("4.4",A4:Q114,6,FALSE)),VLOOKUP("4.4",A4:Q114,6,FALSE),0)</f>
        <v>5486197.4100000001</v>
      </c>
      <c r="G29" s="9">
        <f>IF(ISNUMBER(VLOOKUP("4.1",A4:Q114,7,FALSE)),VLOOKUP("4.1",A4:Q114,7,FALSE),0) + IF(ISNUMBER(VLOOKUP("4.2",A4:Q114,7,FALSE)),VLOOKUP("4.2",A4:Q114,7,FALSE),0) + IF(ISNUMBER(VLOOKUP("4.3",A4:Q114,7,FALSE)),VLOOKUP("4.3",A4:Q114,7,FALSE),0) + IF(ISNUMBER(VLOOKUP("4.4",A4:Q114,7,FALSE)),VLOOKUP("4.4",A4:Q114,7,FALSE),0)</f>
        <v>13903275</v>
      </c>
      <c r="H29" s="9">
        <f>IF(ISNUMBER(VLOOKUP("4.1",A4:Q114,8,FALSE)),VLOOKUP("4.1",A4:Q114,8,FALSE),0) + IF(ISNUMBER(VLOOKUP("4.2",A4:Q114,8,FALSE)),VLOOKUP("4.2",A4:Q114,8,FALSE),0) + IF(ISNUMBER(VLOOKUP("4.3",A4:Q114,8,FALSE)),VLOOKUP("4.3",A4:Q114,8,FALSE),0) + IF(ISNUMBER(VLOOKUP("4.4",A4:Q114,8,FALSE)),VLOOKUP("4.4",A4:Q114,8,FALSE),0)</f>
        <v>0</v>
      </c>
      <c r="I29" s="9">
        <f>IF(ISNUMBER(VLOOKUP("4.1",A4:Q114,9,FALSE)),VLOOKUP("4.1",A4:Q114,9,FALSE),0) + IF(ISNUMBER(VLOOKUP("4.2",A4:Q114,9,FALSE)),VLOOKUP("4.2",A4:Q114,9,FALSE),0) + IF(ISNUMBER(VLOOKUP("4.3",A4:Q114,9,FALSE)),VLOOKUP("4.3",A4:Q114,9,FALSE),0) + IF(ISNUMBER(VLOOKUP("4.4",A4:Q114,9,FALSE)),VLOOKUP("4.4",A4:Q114,9,FALSE),0)</f>
        <v>0</v>
      </c>
      <c r="J29" s="9">
        <f>IF(ISNUMBER(VLOOKUP("4.1",A4:Q114,10,FALSE)),VLOOKUP("4.1",A4:Q114,10,FALSE),0) + IF(ISNUMBER(VLOOKUP("4.2",A4:Q114,10,FALSE)),VLOOKUP("4.2",A4:Q114,10,FALSE),0) + IF(ISNUMBER(VLOOKUP("4.3",A4:Q114,10,FALSE)),VLOOKUP("4.3",A4:Q114,10,FALSE),0) + IF(ISNUMBER(VLOOKUP("4.4",A4:Q114,10,FALSE)),VLOOKUP("4.4",A4:Q114,10,FALSE),0)</f>
        <v>0</v>
      </c>
      <c r="K29" s="9">
        <f>IF(ISNUMBER(VLOOKUP("4.1",A4:Q114,11,FALSE)),VLOOKUP("4.1",A4:Q114,11,FALSE),0) + IF(ISNUMBER(VLOOKUP("4.2",A4:Q114,11,FALSE)),VLOOKUP("4.2",A4:Q114,11,FALSE),0) + IF(ISNUMBER(VLOOKUP("4.3",A4:Q114,11,FALSE)),VLOOKUP("4.3",A4:Q114,11,FALSE),0) + IF(ISNUMBER(VLOOKUP("4.4",A4:Q114,11,FALSE)),VLOOKUP("4.4",A4:Q114,11,FALSE),0)</f>
        <v>0</v>
      </c>
      <c r="L29" s="9">
        <f>IF(ISNUMBER(VLOOKUP("4.1",A4:Q114,12,FALSE)),VLOOKUP("4.1",A4:Q114,12,FALSE),0) + IF(ISNUMBER(VLOOKUP("4.2",A4:Q114,12,FALSE)),VLOOKUP("4.2",A4:Q114,12,FALSE),0) + IF(ISNUMBER(VLOOKUP("4.3",A4:Q114,12,FALSE)),VLOOKUP("4.3",A4:Q114,12,FALSE),0) + IF(ISNUMBER(VLOOKUP("4.4",A4:Q114,12,FALSE)),VLOOKUP("4.4",A4:Q114,12,FALSE),0)</f>
        <v>0</v>
      </c>
      <c r="M29" s="9">
        <f>IF(ISNUMBER(VLOOKUP("4.1",A4:Q114,13,FALSE)),VLOOKUP("4.1",A4:Q114,13,FALSE),0) + IF(ISNUMBER(VLOOKUP("4.2",A4:Q114,13,FALSE)),VLOOKUP("4.2",A4:Q114,13,FALSE),0) + IF(ISNUMBER(VLOOKUP("4.3",A4:Q114,13,FALSE)),VLOOKUP("4.3",A4:Q114,13,FALSE),0) + IF(ISNUMBER(VLOOKUP("4.4",A4:Q114,13,FALSE)),VLOOKUP("4.4",A4:Q114,13,FALSE),0)</f>
        <v>0</v>
      </c>
      <c r="N29" s="9">
        <f>IF(ISNUMBER(VLOOKUP("4.1",A4:Q114,14,FALSE)),VLOOKUP("4.1",A4:Q114,14,FALSE),0) + IF(ISNUMBER(VLOOKUP("4.2",A4:Q114,14,FALSE)),VLOOKUP("4.2",A4:Q114,14,FALSE),0) + IF(ISNUMBER(VLOOKUP("4.3",A4:Q114,14,FALSE)),VLOOKUP("4.3",A4:Q114,14,FALSE),0) + IF(ISNUMBER(VLOOKUP("4.4",A4:Q114,14,FALSE)),VLOOKUP("4.4",A4:Q114,14,FALSE),0)</f>
        <v>0</v>
      </c>
      <c r="O29" s="9">
        <f>IF(ISNUMBER(VLOOKUP("4.1",A4:Q114,15,FALSE)),VLOOKUP("4.1",A4:Q114,15,FALSE),0) + IF(ISNUMBER(VLOOKUP("4.2",A4:Q114,15,FALSE)),VLOOKUP("4.2",A4:Q114,15,FALSE),0) + IF(ISNUMBER(VLOOKUP("4.3",A4:Q114,15,FALSE)),VLOOKUP("4.3",A4:Q114,15,FALSE),0) + IF(ISNUMBER(VLOOKUP("4.4",A4:Q114,15,FALSE)),VLOOKUP("4.4",A4:Q114,15,FALSE),0)</f>
        <v>0</v>
      </c>
      <c r="P29" s="9">
        <f>IF(ISNUMBER(VLOOKUP("4.1",A4:Q114,16,FALSE)),VLOOKUP("4.1",A4:Q114,16,FALSE),0) + IF(ISNUMBER(VLOOKUP("4.2",A4:Q114,16,FALSE)),VLOOKUP("4.2",A4:Q114,16,FALSE),0) + IF(ISNUMBER(VLOOKUP("4.3",A4:Q114,16,FALSE)),VLOOKUP("4.3",A4:Q114,16,FALSE),0) + IF(ISNUMBER(VLOOKUP("4.4",A4:Q114,16,FALSE)),VLOOKUP("4.4",A4:Q114,16,FALSE),0)</f>
        <v>0</v>
      </c>
      <c r="Q29" s="9">
        <f>IF(ISNUMBER(VLOOKUP("4.1",A4:Q114,17,FALSE)),VLOOKUP("4.1",A4:Q114,17,FALSE),0) + IF(ISNUMBER(VLOOKUP("4.2",A4:Q114,17,FALSE)),VLOOKUP("4.2",A4:Q114,17,FALSE),0) + IF(ISNUMBER(VLOOKUP("4.3",A4:Q114,17,FALSE)),VLOOKUP("4.3",A4:Q114,17,FALSE),0) + IF(ISNUMBER(VLOOKUP("4.4",A4:Q114,17,FALSE)),VLOOKUP("4.4",A4:Q114,17,FALSE),0)</f>
        <v>0</v>
      </c>
    </row>
    <row r="30" spans="1:17" s="6" customFormat="1" ht="14.25" customHeight="1" x14ac:dyDescent="0.2">
      <c r="A30" s="7" t="s">
        <v>68</v>
      </c>
      <c r="B30" s="8" t="s">
        <v>69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s="6" customFormat="1" ht="14.25" customHeight="1" x14ac:dyDescent="0.2">
      <c r="A31" s="10" t="s">
        <v>70</v>
      </c>
      <c r="B31" s="11" t="s">
        <v>71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17" s="6" customFormat="1" ht="24" customHeight="1" x14ac:dyDescent="0.2">
      <c r="A32" s="10" t="s">
        <v>72</v>
      </c>
      <c r="B32" s="11" t="s">
        <v>73</v>
      </c>
      <c r="C32" s="12">
        <v>0</v>
      </c>
      <c r="D32" s="12">
        <v>250.99</v>
      </c>
      <c r="E32" s="12">
        <v>2794264</v>
      </c>
      <c r="F32" s="12">
        <v>2794264.76</v>
      </c>
      <c r="G32" s="12">
        <v>6777215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s="6" customFormat="1" ht="14.25" customHeight="1" x14ac:dyDescent="0.2">
      <c r="A33" s="10" t="s">
        <v>74</v>
      </c>
      <c r="B33" s="11" t="s">
        <v>71</v>
      </c>
      <c r="C33" s="12">
        <v>0</v>
      </c>
      <c r="D33" s="12">
        <v>0</v>
      </c>
      <c r="E33" s="12">
        <v>1068586</v>
      </c>
      <c r="F33" s="12">
        <v>0</v>
      </c>
      <c r="G33" s="12">
        <v>4865255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s="6" customFormat="1" ht="14.25" customHeight="1" x14ac:dyDescent="0.2">
      <c r="A34" s="7" t="s">
        <v>75</v>
      </c>
      <c r="B34" s="8" t="s">
        <v>76</v>
      </c>
      <c r="C34" s="9">
        <v>1304229.2</v>
      </c>
      <c r="D34" s="9">
        <v>1253721.8</v>
      </c>
      <c r="E34" s="9">
        <v>3444990</v>
      </c>
      <c r="F34" s="9">
        <v>2691932.65</v>
      </c>
      <c r="G34" s="9">
        <v>7126060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</row>
    <row r="35" spans="1:17" s="6" customFormat="1" ht="14.25" customHeight="1" x14ac:dyDescent="0.2">
      <c r="A35" s="10" t="s">
        <v>77</v>
      </c>
      <c r="B35" s="11" t="s">
        <v>71</v>
      </c>
      <c r="C35" s="12">
        <v>0</v>
      </c>
      <c r="D35" s="12">
        <v>0</v>
      </c>
      <c r="E35" s="12">
        <v>0</v>
      </c>
      <c r="F35" s="12">
        <v>0</v>
      </c>
      <c r="G35" s="12">
        <v>3802024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s="6" customFormat="1" ht="14.25" customHeight="1" x14ac:dyDescent="0.2">
      <c r="A36" s="7" t="s">
        <v>78</v>
      </c>
      <c r="B36" s="8" t="s">
        <v>79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</row>
    <row r="37" spans="1:17" s="6" customFormat="1" ht="14.25" customHeight="1" x14ac:dyDescent="0.2">
      <c r="A37" s="10" t="s">
        <v>80</v>
      </c>
      <c r="B37" s="11" t="s">
        <v>71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</row>
    <row r="38" spans="1:17" s="6" customFormat="1" ht="14.25" customHeight="1" x14ac:dyDescent="0.2">
      <c r="A38" s="7" t="s">
        <v>81</v>
      </c>
      <c r="B38" s="8" t="s">
        <v>82</v>
      </c>
      <c r="C38" s="9">
        <f>IF(ISNUMBER(VLOOKUP("5.1",A4:Q114,3,FALSE)),VLOOKUP("5.1",A4:Q114,3,FALSE),0) + IF(ISNUMBER(VLOOKUP("5.2",A4:Q114,3,FALSE)),VLOOKUP("5.2",A4:Q114,3,FALSE),0)</f>
        <v>3525853.65</v>
      </c>
      <c r="D38" s="9">
        <f>IF(ISNUMBER(VLOOKUP("5.1",A4:Q114,4,FALSE)),VLOOKUP("5.1",A4:Q114,4,FALSE),0) + IF(ISNUMBER(VLOOKUP("5.2",A4:Q114,4,FALSE)),VLOOKUP("5.2",A4:Q114,4,FALSE),0)</f>
        <v>4551515.2</v>
      </c>
      <c r="E38" s="9">
        <f>IF(ISNUMBER(VLOOKUP("5.1",A4:Q114,5,FALSE)),VLOOKUP("5.1",A4:Q114,5,FALSE),0) + IF(ISNUMBER(VLOOKUP("5.2",A4:Q114,5,FALSE)),VLOOKUP("5.2",A4:Q114,5,FALSE),0)</f>
        <v>5170668</v>
      </c>
      <c r="F38" s="9">
        <f>IF(ISNUMBER(VLOOKUP("5.1",A4:Q114,6,FALSE)),VLOOKUP("5.1",A4:Q114,6,FALSE),0) + IF(ISNUMBER(VLOOKUP("5.2",A4:Q114,6,FALSE)),VLOOKUP("5.2",A4:Q114,6,FALSE),0)</f>
        <v>5169918.82</v>
      </c>
      <c r="G38" s="9">
        <f>IF(ISNUMBER(VLOOKUP("5.1",A4:Q114,7,FALSE)),VLOOKUP("5.1",A4:Q114,7,FALSE),0) + IF(ISNUMBER(VLOOKUP("5.2",A4:Q114,7,FALSE)),VLOOKUP("5.2",A4:Q114,7,FALSE),0)</f>
        <v>5235996</v>
      </c>
      <c r="H38" s="9">
        <f>IF(ISNUMBER(VLOOKUP("5.1",A4:Q114,8,FALSE)),VLOOKUP("5.1",A4:Q114,8,FALSE),0) + IF(ISNUMBER(VLOOKUP("5.2",A4:Q114,8,FALSE)),VLOOKUP("5.2",A4:Q114,8,FALSE),0)</f>
        <v>5287430</v>
      </c>
      <c r="I38" s="9">
        <f>IF(ISNUMBER(VLOOKUP("5.1",A4:Q114,9,FALSE)),VLOOKUP("5.1",A4:Q114,9,FALSE),0) + IF(ISNUMBER(VLOOKUP("5.2",A4:Q114,9,FALSE)),VLOOKUP("5.2",A4:Q114,9,FALSE),0)</f>
        <v>5285345</v>
      </c>
      <c r="J38" s="9">
        <f>IF(ISNUMBER(VLOOKUP("5.1",A4:Q114,10,FALSE)),VLOOKUP("5.1",A4:Q114,10,FALSE),0) + IF(ISNUMBER(VLOOKUP("5.2",A4:Q114,10,FALSE)),VLOOKUP("5.2",A4:Q114,10,FALSE),0)</f>
        <v>4544486</v>
      </c>
      <c r="K38" s="9">
        <f>IF(ISNUMBER(VLOOKUP("5.1",A4:Q114,11,FALSE)),VLOOKUP("5.1",A4:Q114,11,FALSE),0) + IF(ISNUMBER(VLOOKUP("5.2",A4:Q114,11,FALSE)),VLOOKUP("5.2",A4:Q114,11,FALSE),0)</f>
        <v>4471287</v>
      </c>
      <c r="L38" s="9">
        <f>IF(ISNUMBER(VLOOKUP("5.1",A4:Q114,12,FALSE)),VLOOKUP("5.1",A4:Q114,12,FALSE),0) + IF(ISNUMBER(VLOOKUP("5.2",A4:Q114,12,FALSE)),VLOOKUP("5.2",A4:Q114,12,FALSE),0)</f>
        <v>3853703</v>
      </c>
      <c r="M38" s="9">
        <f>IF(ISNUMBER(VLOOKUP("5.1",A4:Q114,13,FALSE)),VLOOKUP("5.1",A4:Q114,13,FALSE),0) + IF(ISNUMBER(VLOOKUP("5.2",A4:Q114,13,FALSE)),VLOOKUP("5.2",A4:Q114,13,FALSE),0)</f>
        <v>1577984</v>
      </c>
      <c r="N38" s="9">
        <f>IF(ISNUMBER(VLOOKUP("5.1",A4:Q114,14,FALSE)),VLOOKUP("5.1",A4:Q114,14,FALSE),0) + IF(ISNUMBER(VLOOKUP("5.2",A4:Q114,14,FALSE)),VLOOKUP("5.2",A4:Q114,14,FALSE),0)</f>
        <v>1084532</v>
      </c>
      <c r="O38" s="9">
        <f>IF(ISNUMBER(VLOOKUP("5.1",A4:Q114,15,FALSE)),VLOOKUP("5.1",A4:Q114,15,FALSE),0) + IF(ISNUMBER(VLOOKUP("5.2",A4:Q114,15,FALSE)),VLOOKUP("5.2",A4:Q114,15,FALSE),0)</f>
        <v>987324</v>
      </c>
      <c r="P38" s="9">
        <f>IF(ISNUMBER(VLOOKUP("5.1",A4:Q114,16,FALSE)),VLOOKUP("5.1",A4:Q114,16,FALSE),0) + IF(ISNUMBER(VLOOKUP("5.2",A4:Q114,16,FALSE)),VLOOKUP("5.2",A4:Q114,16,FALSE),0)</f>
        <v>927969</v>
      </c>
      <c r="Q38" s="9">
        <f>IF(ISNUMBER(VLOOKUP("5.1",A4:Q114,17,FALSE)),VLOOKUP("5.1",A4:Q114,17,FALSE),0) + IF(ISNUMBER(VLOOKUP("5.2",A4:Q114,17,FALSE)),VLOOKUP("5.2",A4:Q114,17,FALSE),0)</f>
        <v>376060</v>
      </c>
    </row>
    <row r="39" spans="1:17" s="6" customFormat="1" ht="27" customHeight="1" x14ac:dyDescent="0.2">
      <c r="A39" s="7" t="s">
        <v>83</v>
      </c>
      <c r="B39" s="8" t="s">
        <v>84</v>
      </c>
      <c r="C39" s="9">
        <v>3525853.65</v>
      </c>
      <c r="D39" s="9">
        <v>4551515.2</v>
      </c>
      <c r="E39" s="9">
        <v>5170668</v>
      </c>
      <c r="F39" s="9">
        <v>5169918.82</v>
      </c>
      <c r="G39" s="9">
        <v>5235996</v>
      </c>
      <c r="H39" s="9">
        <v>5287430</v>
      </c>
      <c r="I39" s="9">
        <v>5285345</v>
      </c>
      <c r="J39" s="9">
        <v>4544486</v>
      </c>
      <c r="K39" s="9">
        <v>4471287</v>
      </c>
      <c r="L39" s="9">
        <v>3853703</v>
      </c>
      <c r="M39" s="9">
        <v>1577984</v>
      </c>
      <c r="N39" s="9">
        <v>1084532</v>
      </c>
      <c r="O39" s="9">
        <v>987324</v>
      </c>
      <c r="P39" s="9">
        <v>927969</v>
      </c>
      <c r="Q39" s="9">
        <v>376060</v>
      </c>
    </row>
    <row r="40" spans="1:17" s="6" customFormat="1" ht="39.950000000000003" customHeight="1" x14ac:dyDescent="0.2">
      <c r="A40" s="10" t="s">
        <v>85</v>
      </c>
      <c r="B40" s="11" t="s">
        <v>86</v>
      </c>
      <c r="C40" s="12">
        <f>IF(ISNUMBER(VLOOKUP("5.1.1.1",A4:Q114,3,FALSE)),VLOOKUP("5.1.1.1",A4:Q114,3,FALSE),0) + IF(ISNUMBER(VLOOKUP("5.1.1.2",A4:Q114,3,FALSE)),VLOOKUP("5.1.1.2",A4:Q114,3,FALSE),0) + IF(ISNUMBER(VLOOKUP("5.1.1.3",A4:Q114,3,FALSE)),VLOOKUP("5.1.1.3",A4:Q114,3,FALSE),0)</f>
        <v>0</v>
      </c>
      <c r="D40" s="12">
        <f>IF(ISNUMBER(VLOOKUP("5.1.1.1",A4:Q114,4,FALSE)),VLOOKUP("5.1.1.1",A4:Q114,4,FALSE),0) + IF(ISNUMBER(VLOOKUP("5.1.1.2",A4:Q114,4,FALSE)),VLOOKUP("5.1.1.2",A4:Q114,4,FALSE),0) + IF(ISNUMBER(VLOOKUP("5.1.1.3",A4:Q114,4,FALSE)),VLOOKUP("5.1.1.3",A4:Q114,4,FALSE),0)</f>
        <v>0</v>
      </c>
      <c r="E40" s="12">
        <f>IF(ISNUMBER(VLOOKUP("5.1.1.1",A4:Q114,5,FALSE)),VLOOKUP("5.1.1.1",A4:Q114,5,FALSE),0) + IF(ISNUMBER(VLOOKUP("5.1.1.2",A4:Q114,5,FALSE)),VLOOKUP("5.1.1.2",A4:Q114,5,FALSE),0) + IF(ISNUMBER(VLOOKUP("5.1.1.3",A4:Q114,5,FALSE)),VLOOKUP("5.1.1.3",A4:Q114,5,FALSE),0)</f>
        <v>0</v>
      </c>
      <c r="F40" s="12">
        <f>IF(ISNUMBER(VLOOKUP("5.1.1.1",A4:Q114,6,FALSE)),VLOOKUP("5.1.1.1",A4:Q114,6,FALSE),0) + IF(ISNUMBER(VLOOKUP("5.1.1.2",A4:Q114,6,FALSE)),VLOOKUP("5.1.1.2",A4:Q114,6,FALSE),0) + IF(ISNUMBER(VLOOKUP("5.1.1.3",A4:Q114,6,FALSE)),VLOOKUP("5.1.1.3",A4:Q114,6,FALSE),0)</f>
        <v>0</v>
      </c>
      <c r="G40" s="12">
        <f>IF(ISNUMBER(VLOOKUP("5.1.1.1",A4:Q114,7,FALSE)),VLOOKUP("5.1.1.1",A4:Q114,7,FALSE),0) + IF(ISNUMBER(VLOOKUP("5.1.1.2",A4:Q114,7,FALSE)),VLOOKUP("5.1.1.2",A4:Q114,7,FALSE),0) + IF(ISNUMBER(VLOOKUP("5.1.1.3",A4:Q114,7,FALSE)),VLOOKUP("5.1.1.3",A4:Q114,7,FALSE),0)</f>
        <v>0</v>
      </c>
      <c r="H40" s="12">
        <f>IF(ISNUMBER(VLOOKUP("5.1.1.1",A4:Q114,8,FALSE)),VLOOKUP("5.1.1.1",A4:Q114,8,FALSE),0) + IF(ISNUMBER(VLOOKUP("5.1.1.2",A4:Q114,8,FALSE)),VLOOKUP("5.1.1.2",A4:Q114,8,FALSE),0) + IF(ISNUMBER(VLOOKUP("5.1.1.3",A4:Q114,8,FALSE)),VLOOKUP("5.1.1.3",A4:Q114,8,FALSE),0)</f>
        <v>0</v>
      </c>
      <c r="I40" s="12">
        <f>IF(ISNUMBER(VLOOKUP("5.1.1.1",A4:Q114,9,FALSE)),VLOOKUP("5.1.1.1",A4:Q114,9,FALSE),0) + IF(ISNUMBER(VLOOKUP("5.1.1.2",A4:Q114,9,FALSE)),VLOOKUP("5.1.1.2",A4:Q114,9,FALSE),0) + IF(ISNUMBER(VLOOKUP("5.1.1.3",A4:Q114,9,FALSE)),VLOOKUP("5.1.1.3",A4:Q114,9,FALSE),0)</f>
        <v>0</v>
      </c>
      <c r="J40" s="12">
        <f>IF(ISNUMBER(VLOOKUP("5.1.1.1",A4:Q114,10,FALSE)),VLOOKUP("5.1.1.1",A4:Q114,10,FALSE),0) + IF(ISNUMBER(VLOOKUP("5.1.1.2",A4:Q114,10,FALSE)),VLOOKUP("5.1.1.2",A4:Q114,10,FALSE),0) + IF(ISNUMBER(VLOOKUP("5.1.1.3",A4:Q114,10,FALSE)),VLOOKUP("5.1.1.3",A4:Q114,10,FALSE),0)</f>
        <v>0</v>
      </c>
      <c r="K40" s="12">
        <f>IF(ISNUMBER(VLOOKUP("5.1.1.1",A4:Q114,11,FALSE)),VLOOKUP("5.1.1.1",A4:Q114,11,FALSE),0) + IF(ISNUMBER(VLOOKUP("5.1.1.2",A4:Q114,11,FALSE)),VLOOKUP("5.1.1.2",A4:Q114,11,FALSE),0) + IF(ISNUMBER(VLOOKUP("5.1.1.3",A4:Q114,11,FALSE)),VLOOKUP("5.1.1.3",A4:Q114,11,FALSE),0)</f>
        <v>0</v>
      </c>
      <c r="L40" s="12">
        <f>IF(ISNUMBER(VLOOKUP("5.1.1.1",A4:Q114,12,FALSE)),VLOOKUP("5.1.1.1",A4:Q114,12,FALSE),0) + IF(ISNUMBER(VLOOKUP("5.1.1.2",A4:Q114,12,FALSE)),VLOOKUP("5.1.1.2",A4:Q114,12,FALSE),0) + IF(ISNUMBER(VLOOKUP("5.1.1.3",A4:Q114,12,FALSE)),VLOOKUP("5.1.1.3",A4:Q114,12,FALSE),0)</f>
        <v>0</v>
      </c>
      <c r="M40" s="12">
        <f>IF(ISNUMBER(VLOOKUP("5.1.1.1",A4:Q114,13,FALSE)),VLOOKUP("5.1.1.1",A4:Q114,13,FALSE),0) + IF(ISNUMBER(VLOOKUP("5.1.1.2",A4:Q114,13,FALSE)),VLOOKUP("5.1.1.2",A4:Q114,13,FALSE),0) + IF(ISNUMBER(VLOOKUP("5.1.1.3",A4:Q114,13,FALSE)),VLOOKUP("5.1.1.3",A4:Q114,13,FALSE),0)</f>
        <v>0</v>
      </c>
      <c r="N40" s="12">
        <f>IF(ISNUMBER(VLOOKUP("5.1.1.1",A4:Q114,14,FALSE)),VLOOKUP("5.1.1.1",A4:Q114,14,FALSE),0) + IF(ISNUMBER(VLOOKUP("5.1.1.2",A4:Q114,14,FALSE)),VLOOKUP("5.1.1.2",A4:Q114,14,FALSE),0) + IF(ISNUMBER(VLOOKUP("5.1.1.3",A4:Q114,14,FALSE)),VLOOKUP("5.1.1.3",A4:Q114,14,FALSE),0)</f>
        <v>0</v>
      </c>
      <c r="O40" s="12">
        <f>IF(ISNUMBER(VLOOKUP("5.1.1.1",A4:Q114,15,FALSE)),VLOOKUP("5.1.1.1",A4:Q114,15,FALSE),0) + IF(ISNUMBER(VLOOKUP("5.1.1.2",A4:Q114,15,FALSE)),VLOOKUP("5.1.1.2",A4:Q114,15,FALSE),0) + IF(ISNUMBER(VLOOKUP("5.1.1.3",A4:Q114,15,FALSE)),VLOOKUP("5.1.1.3",A4:Q114,15,FALSE),0)</f>
        <v>0</v>
      </c>
      <c r="P40" s="12">
        <f>IF(ISNUMBER(VLOOKUP("5.1.1.1",A4:Q114,16,FALSE)),VLOOKUP("5.1.1.1",A4:Q114,16,FALSE),0) + IF(ISNUMBER(VLOOKUP("5.1.1.2",A4:Q114,16,FALSE)),VLOOKUP("5.1.1.2",A4:Q114,16,FALSE),0) + IF(ISNUMBER(VLOOKUP("5.1.1.3",A4:Q114,16,FALSE)),VLOOKUP("5.1.1.3",A4:Q114,16,FALSE),0)</f>
        <v>0</v>
      </c>
      <c r="Q40" s="12">
        <f>IF(ISNUMBER(VLOOKUP("5.1.1.1",A4:Q114,17,FALSE)),VLOOKUP("5.1.1.1",A4:Q114,17,FALSE),0) + IF(ISNUMBER(VLOOKUP("5.1.1.2",A4:Q114,17,FALSE)),VLOOKUP("5.1.1.2",A4:Q114,17,FALSE),0) + IF(ISNUMBER(VLOOKUP("5.1.1.3",A4:Q114,17,FALSE)),VLOOKUP("5.1.1.3",A4:Q114,17,FALSE),0)</f>
        <v>0</v>
      </c>
    </row>
    <row r="41" spans="1:17" s="6" customFormat="1" ht="27" customHeight="1" x14ac:dyDescent="0.2">
      <c r="A41" s="10" t="s">
        <v>87</v>
      </c>
      <c r="B41" s="11" t="s">
        <v>88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 s="6" customFormat="1" ht="27" customHeight="1" x14ac:dyDescent="0.2">
      <c r="A42" s="10" t="s">
        <v>89</v>
      </c>
      <c r="B42" s="11" t="s">
        <v>90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</row>
    <row r="43" spans="1:17" s="6" customFormat="1" ht="27" customHeight="1" x14ac:dyDescent="0.2">
      <c r="A43" s="10" t="s">
        <v>91</v>
      </c>
      <c r="B43" s="11" t="s">
        <v>92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 s="6" customFormat="1" ht="14.25" customHeight="1" x14ac:dyDescent="0.2">
      <c r="A44" s="7" t="s">
        <v>93</v>
      </c>
      <c r="B44" s="8" t="s">
        <v>94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</row>
    <row r="45" spans="1:17" s="6" customFormat="1" ht="14.25" customHeight="1" x14ac:dyDescent="0.2">
      <c r="A45" s="7" t="s">
        <v>95</v>
      </c>
      <c r="B45" s="8" t="s">
        <v>96</v>
      </c>
      <c r="C45" s="9">
        <v>32431827</v>
      </c>
      <c r="D45" s="9">
        <v>28984041.600000001</v>
      </c>
      <c r="E45" s="9">
        <v>27258363.600000001</v>
      </c>
      <c r="F45" s="9">
        <v>26506055.43</v>
      </c>
      <c r="G45" s="9">
        <v>28396119.43</v>
      </c>
      <c r="H45" s="9">
        <v>23108689.43</v>
      </c>
      <c r="I45" s="9">
        <v>17823344.43</v>
      </c>
      <c r="J45" s="9">
        <v>13278858.43</v>
      </c>
      <c r="K45" s="9">
        <v>8807571.4299999997</v>
      </c>
      <c r="L45" s="9">
        <v>4953868.43</v>
      </c>
      <c r="M45" s="9">
        <v>3375884.43</v>
      </c>
      <c r="N45" s="9">
        <v>2291352.4300000002</v>
      </c>
      <c r="O45" s="9">
        <v>1304028.43</v>
      </c>
      <c r="P45" s="9">
        <v>376059.65</v>
      </c>
      <c r="Q45" s="9">
        <v>0</v>
      </c>
    </row>
    <row r="46" spans="1:17" s="6" customFormat="1" ht="52.9" customHeight="1" x14ac:dyDescent="0.2">
      <c r="A46" s="7" t="s">
        <v>97</v>
      </c>
      <c r="B46" s="8" t="s">
        <v>98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</row>
    <row r="47" spans="1:17" s="6" customFormat="1" ht="27" customHeight="1" x14ac:dyDescent="0.2">
      <c r="A47" s="7" t="s">
        <v>99</v>
      </c>
      <c r="B47" s="8" t="s">
        <v>100</v>
      </c>
      <c r="C47" s="23" t="s">
        <v>52</v>
      </c>
      <c r="D47" s="23" t="s">
        <v>52</v>
      </c>
      <c r="E47" s="23" t="s">
        <v>52</v>
      </c>
      <c r="F47" s="23" t="s">
        <v>52</v>
      </c>
      <c r="G47" s="23" t="s">
        <v>52</v>
      </c>
      <c r="H47" s="23" t="s">
        <v>52</v>
      </c>
      <c r="I47" s="23" t="s">
        <v>52</v>
      </c>
      <c r="J47" s="23" t="s">
        <v>52</v>
      </c>
      <c r="K47" s="23" t="s">
        <v>52</v>
      </c>
      <c r="L47" s="23" t="s">
        <v>52</v>
      </c>
      <c r="M47" s="23" t="s">
        <v>52</v>
      </c>
      <c r="N47" s="23" t="s">
        <v>52</v>
      </c>
      <c r="O47" s="23" t="s">
        <v>52</v>
      </c>
      <c r="P47" s="23" t="s">
        <v>52</v>
      </c>
      <c r="Q47" s="23" t="s">
        <v>52</v>
      </c>
    </row>
    <row r="48" spans="1:17" s="6" customFormat="1" ht="27" customHeight="1" x14ac:dyDescent="0.2">
      <c r="A48" s="10" t="s">
        <v>101</v>
      </c>
      <c r="B48" s="11" t="s">
        <v>102</v>
      </c>
      <c r="C48" s="12">
        <f>IF(ISNUMBER(VLOOKUP("1.1",A4:Q114,3,FALSE)),VLOOKUP("1.1",A4:Q114,3,FALSE),0) - IF(ISNUMBER(VLOOKUP("2.1",A4:Q114,3,FALSE)),VLOOKUP("2.1",A4:Q114,3,FALSE),0)</f>
        <v>8303317.4800000191</v>
      </c>
      <c r="D48" s="12">
        <f>IF(ISNUMBER(VLOOKUP("1.1",A4:Q114,4,FALSE)),VLOOKUP("1.1",A4:Q114,4,FALSE),0) - IF(ISNUMBER(VLOOKUP("2.1",A4:Q114,4,FALSE)),VLOOKUP("2.1",A4:Q114,4,FALSE),0)</f>
        <v>9686739.9499999881</v>
      </c>
      <c r="E48" s="12">
        <f>IF(ISNUMBER(VLOOKUP("1.1",A4:Q114,5,FALSE)),VLOOKUP("1.1",A4:Q114,5,FALSE),0) - IF(ISNUMBER(VLOOKUP("2.1",A4:Q114,5,FALSE)),VLOOKUP("2.1",A4:Q114,5,FALSE),0)</f>
        <v>7029989</v>
      </c>
      <c r="F48" s="12">
        <f>IF(ISNUMBER(VLOOKUP("1.1",A4:Q114,6,FALSE)),VLOOKUP("1.1",A4:Q114,6,FALSE),0) - IF(ISNUMBER(VLOOKUP("2.1",A4:Q114,6,FALSE)),VLOOKUP("2.1",A4:Q114,6,FALSE),0)</f>
        <v>15444906.189999998</v>
      </c>
      <c r="G48" s="12">
        <f>IF(ISNUMBER(VLOOKUP("1.1",A4:Q114,7,FALSE)),VLOOKUP("1.1",A4:Q114,7,FALSE),0) - IF(ISNUMBER(VLOOKUP("2.1",A4:Q114,7,FALSE)),VLOOKUP("2.1",A4:Q114,7,FALSE),0)</f>
        <v>7262715</v>
      </c>
      <c r="H48" s="12">
        <f>IF(ISNUMBER(VLOOKUP("1.1",A4:Q114,8,FALSE)),VLOOKUP("1.1",A4:Q114,8,FALSE),0) - IF(ISNUMBER(VLOOKUP("2.1",A4:Q114,8,FALSE)),VLOOKUP("2.1",A4:Q114,8,FALSE),0)</f>
        <v>12554115</v>
      </c>
      <c r="I48" s="12">
        <f>IF(ISNUMBER(VLOOKUP("1.1",A4:Q114,9,FALSE)),VLOOKUP("1.1",A4:Q114,9,FALSE),0) - IF(ISNUMBER(VLOOKUP("2.1",A4:Q114,9,FALSE)),VLOOKUP("2.1",A4:Q114,9,FALSE),0)</f>
        <v>13232425</v>
      </c>
      <c r="J48" s="12">
        <f>IF(ISNUMBER(VLOOKUP("1.1",A4:Q114,10,FALSE)),VLOOKUP("1.1",A4:Q114,10,FALSE),0) - IF(ISNUMBER(VLOOKUP("2.1",A4:Q114,10,FALSE)),VLOOKUP("2.1",A4:Q114,10,FALSE),0)</f>
        <v>14727172</v>
      </c>
      <c r="K48" s="12">
        <f>IF(ISNUMBER(VLOOKUP("1.1",A4:Q114,11,FALSE)),VLOOKUP("1.1",A4:Q114,11,FALSE),0) - IF(ISNUMBER(VLOOKUP("2.1",A4:Q114,11,FALSE)),VLOOKUP("2.1",A4:Q114,11,FALSE),0)</f>
        <v>15774237</v>
      </c>
      <c r="L48" s="12">
        <f>IF(ISNUMBER(VLOOKUP("1.1",A4:Q114,12,FALSE)),VLOOKUP("1.1",A4:Q114,12,FALSE),0) - IF(ISNUMBER(VLOOKUP("2.1",A4:Q114,12,FALSE)),VLOOKUP("2.1",A4:Q114,12,FALSE),0)</f>
        <v>16782892</v>
      </c>
      <c r="M48" s="12">
        <f>IF(ISNUMBER(VLOOKUP("1.1",A4:Q114,13,FALSE)),VLOOKUP("1.1",A4:Q114,13,FALSE),0) - IF(ISNUMBER(VLOOKUP("2.1",A4:Q114,13,FALSE)),VLOOKUP("2.1",A4:Q114,13,FALSE),0)</f>
        <v>17514139</v>
      </c>
      <c r="N48" s="12">
        <f>IF(ISNUMBER(VLOOKUP("1.1",A4:Q114,14,FALSE)),VLOOKUP("1.1",A4:Q114,14,FALSE),0) - IF(ISNUMBER(VLOOKUP("2.1",A4:Q114,14,FALSE)),VLOOKUP("2.1",A4:Q114,14,FALSE),0)</f>
        <v>18103413</v>
      </c>
      <c r="O48" s="12">
        <f>IF(ISNUMBER(VLOOKUP("1.1",A4:Q114,15,FALSE)),VLOOKUP("1.1",A4:Q114,15,FALSE),0) - IF(ISNUMBER(VLOOKUP("2.1",A4:Q114,15,FALSE)),VLOOKUP("2.1",A4:Q114,15,FALSE),0)</f>
        <v>18599368</v>
      </c>
      <c r="P48" s="12">
        <f>IF(ISNUMBER(VLOOKUP("1.1",A4:Q114,16,FALSE)),VLOOKUP("1.1",A4:Q114,16,FALSE),0) - IF(ISNUMBER(VLOOKUP("2.1",A4:Q114,16,FALSE)),VLOOKUP("2.1",A4:Q114,16,FALSE),0)</f>
        <v>18996879</v>
      </c>
      <c r="Q48" s="12">
        <f>IF(ISNUMBER(VLOOKUP("1.1",A4:Q114,17,FALSE)),VLOOKUP("1.1",A4:Q114,17,FALSE),0) - IF(ISNUMBER(VLOOKUP("2.1",A4:Q114,17,FALSE)),VLOOKUP("2.1",A4:Q114,17,FALSE),0)</f>
        <v>19443816</v>
      </c>
    </row>
    <row r="49" spans="1:17" s="6" customFormat="1" ht="42" customHeight="1" x14ac:dyDescent="0.2">
      <c r="A49" s="10" t="s">
        <v>103</v>
      </c>
      <c r="B49" s="11" t="s">
        <v>104</v>
      </c>
      <c r="C49" s="12">
        <f>IF(ISNUMBER(VLOOKUP("1.1",A4:Q114,3,FALSE)),VLOOKUP("1.1",A4:Q114,3,FALSE),0) + IF(ISNUMBER(VLOOKUP("4.1",A4:Q114,3,FALSE)),VLOOKUP("4.1",A4:Q114,3,FALSE),0) + IF(ISNUMBER(VLOOKUP("4.2",A4:Q114,3,FALSE)),VLOOKUP("4.2",A4:Q114,3,FALSE),0) - IF(ISNUMBER(VLOOKUP("2.1",A4:Q114,3,FALSE)),VLOOKUP("2.1",A4:Q114,3,FALSE),0) + IF(ISNUMBER(VLOOKUP("2.1.2",A4:Q114,3,FALSE)),VLOOKUP("2.1.2",A4:Q114,3,FALSE),0)</f>
        <v>8303317.4800000191</v>
      </c>
      <c r="D49" s="12">
        <f>IF(ISNUMBER(VLOOKUP("1.1",A4:Q114,4,FALSE)),VLOOKUP("1.1",A4:Q114,4,FALSE),0) + IF(ISNUMBER(VLOOKUP("4.1",A4:Q114,4,FALSE)),VLOOKUP("4.1",A4:Q114,4,FALSE),0) + IF(ISNUMBER(VLOOKUP("4.2",A4:Q114,4,FALSE)),VLOOKUP("4.2",A4:Q114,4,FALSE),0) - IF(ISNUMBER(VLOOKUP("2.1",A4:Q114,4,FALSE)),VLOOKUP("2.1",A4:Q114,4,FALSE),0) + IF(ISNUMBER(VLOOKUP("2.1.2",A4:Q114,4,FALSE)),VLOOKUP("2.1.2",A4:Q114,4,FALSE),0)</f>
        <v>9686990.9399999976</v>
      </c>
      <c r="E49" s="12">
        <f>IF(ISNUMBER(VLOOKUP("1.1",A4:Q114,5,FALSE)),VLOOKUP("1.1",A4:Q114,5,FALSE),0) + IF(ISNUMBER(VLOOKUP("4.1",A4:Q114,5,FALSE)),VLOOKUP("4.1",A4:Q114,5,FALSE),0) + IF(ISNUMBER(VLOOKUP("4.2",A4:Q114,5,FALSE)),VLOOKUP("4.2",A4:Q114,5,FALSE),0) - IF(ISNUMBER(VLOOKUP("2.1",A4:Q114,5,FALSE)),VLOOKUP("2.1",A4:Q114,5,FALSE),0) + IF(ISNUMBER(VLOOKUP("2.1.2",A4:Q114,5,FALSE)),VLOOKUP("2.1.2",A4:Q114,5,FALSE),0)</f>
        <v>9824253</v>
      </c>
      <c r="F49" s="12">
        <f>IF(ISNUMBER(VLOOKUP("1.1",A4:Q114,6,FALSE)),VLOOKUP("1.1",A4:Q114,6,FALSE),0) + IF(ISNUMBER(VLOOKUP("4.1",A4:Q114,6,FALSE)),VLOOKUP("4.1",A4:Q114,6,FALSE),0) + IF(ISNUMBER(VLOOKUP("4.2",A4:Q114,6,FALSE)),VLOOKUP("4.2",A4:Q114,6,FALSE),0) - IF(ISNUMBER(VLOOKUP("2.1",A4:Q114,6,FALSE)),VLOOKUP("2.1",A4:Q114,6,FALSE),0) + IF(ISNUMBER(VLOOKUP("2.1.2",A4:Q114,6,FALSE)),VLOOKUP("2.1.2",A4:Q114,6,FALSE),0)</f>
        <v>18239170.949999988</v>
      </c>
      <c r="G49" s="12">
        <f>IF(ISNUMBER(VLOOKUP("1.1",A4:Q114,7,FALSE)),VLOOKUP("1.1",A4:Q114,7,FALSE),0) + IF(ISNUMBER(VLOOKUP("4.1",A4:Q114,7,FALSE)),VLOOKUP("4.1",A4:Q114,7,FALSE),0) + IF(ISNUMBER(VLOOKUP("4.2",A4:Q114,7,FALSE)),VLOOKUP("4.2",A4:Q114,7,FALSE),0) - IF(ISNUMBER(VLOOKUP("2.1",A4:Q114,7,FALSE)),VLOOKUP("2.1",A4:Q114,7,FALSE),0) + IF(ISNUMBER(VLOOKUP("2.1.2",A4:Q114,7,FALSE)),VLOOKUP("2.1.2",A4:Q114,7,FALSE),0)</f>
        <v>14039930</v>
      </c>
      <c r="H49" s="12">
        <f>IF(ISNUMBER(VLOOKUP("1.1",A4:Q114,8,FALSE)),VLOOKUP("1.1",A4:Q114,8,FALSE),0) + IF(ISNUMBER(VLOOKUP("4.1",A4:Q114,8,FALSE)),VLOOKUP("4.1",A4:Q114,8,FALSE),0) + IF(ISNUMBER(VLOOKUP("4.2",A4:Q114,8,FALSE)),VLOOKUP("4.2",A4:Q114,8,FALSE),0) - IF(ISNUMBER(VLOOKUP("2.1",A4:Q114,8,FALSE)),VLOOKUP("2.1",A4:Q114,8,FALSE),0) + IF(ISNUMBER(VLOOKUP("2.1.2",A4:Q114,8,FALSE)),VLOOKUP("2.1.2",A4:Q114,8,FALSE),0)</f>
        <v>12554115</v>
      </c>
      <c r="I49" s="12">
        <f>IF(ISNUMBER(VLOOKUP("1.1",A4:Q114,9,FALSE)),VLOOKUP("1.1",A4:Q114,9,FALSE),0) + IF(ISNUMBER(VLOOKUP("4.1",A4:Q114,9,FALSE)),VLOOKUP("4.1",A4:Q114,9,FALSE),0) + IF(ISNUMBER(VLOOKUP("4.2",A4:Q114,9,FALSE)),VLOOKUP("4.2",A4:Q114,9,FALSE),0) - IF(ISNUMBER(VLOOKUP("2.1",A4:Q114,9,FALSE)),VLOOKUP("2.1",A4:Q114,9,FALSE),0) + IF(ISNUMBER(VLOOKUP("2.1.2",A4:Q114,9,FALSE)),VLOOKUP("2.1.2",A4:Q114,9,FALSE),0)</f>
        <v>13232425</v>
      </c>
      <c r="J49" s="12">
        <f>IF(ISNUMBER(VLOOKUP("1.1",A4:Q114,10,FALSE)),VLOOKUP("1.1",A4:Q114,10,FALSE),0) + IF(ISNUMBER(VLOOKUP("4.1",A4:Q114,10,FALSE)),VLOOKUP("4.1",A4:Q114,10,FALSE),0) + IF(ISNUMBER(VLOOKUP("4.2",A4:Q114,10,FALSE)),VLOOKUP("4.2",A4:Q114,10,FALSE),0) - IF(ISNUMBER(VLOOKUP("2.1",A4:Q114,10,FALSE)),VLOOKUP("2.1",A4:Q114,10,FALSE),0) + IF(ISNUMBER(VLOOKUP("2.1.2",A4:Q114,10,FALSE)),VLOOKUP("2.1.2",A4:Q114,10,FALSE),0)</f>
        <v>14727172</v>
      </c>
      <c r="K49" s="12">
        <f>IF(ISNUMBER(VLOOKUP("1.1",A4:Q114,11,FALSE)),VLOOKUP("1.1",A4:Q114,11,FALSE),0) + IF(ISNUMBER(VLOOKUP("4.1",A4:Q114,11,FALSE)),VLOOKUP("4.1",A4:Q114,11,FALSE),0) + IF(ISNUMBER(VLOOKUP("4.2",A4:Q114,11,FALSE)),VLOOKUP("4.2",A4:Q114,11,FALSE),0) - IF(ISNUMBER(VLOOKUP("2.1",A4:Q114,11,FALSE)),VLOOKUP("2.1",A4:Q114,11,FALSE),0) + IF(ISNUMBER(VLOOKUP("2.1.2",A4:Q114,11,FALSE)),VLOOKUP("2.1.2",A4:Q114,11,FALSE),0)</f>
        <v>15774237</v>
      </c>
      <c r="L49" s="12">
        <f>IF(ISNUMBER(VLOOKUP("1.1",A4:Q114,12,FALSE)),VLOOKUP("1.1",A4:Q114,12,FALSE),0) + IF(ISNUMBER(VLOOKUP("4.1",A4:Q114,12,FALSE)),VLOOKUP("4.1",A4:Q114,12,FALSE),0) + IF(ISNUMBER(VLOOKUP("4.2",A4:Q114,12,FALSE)),VLOOKUP("4.2",A4:Q114,12,FALSE),0) - IF(ISNUMBER(VLOOKUP("2.1",A4:Q114,12,FALSE)),VLOOKUP("2.1",A4:Q114,12,FALSE),0) + IF(ISNUMBER(VLOOKUP("2.1.2",A4:Q114,12,FALSE)),VLOOKUP("2.1.2",A4:Q114,12,FALSE),0)</f>
        <v>16782892</v>
      </c>
      <c r="M49" s="12">
        <f>IF(ISNUMBER(VLOOKUP("1.1",A4:Q114,13,FALSE)),VLOOKUP("1.1",A4:Q114,13,FALSE),0) + IF(ISNUMBER(VLOOKUP("4.1",A4:Q114,13,FALSE)),VLOOKUP("4.1",A4:Q114,13,FALSE),0) + IF(ISNUMBER(VLOOKUP("4.2",A4:Q114,13,FALSE)),VLOOKUP("4.2",A4:Q114,13,FALSE),0) - IF(ISNUMBER(VLOOKUP("2.1",A4:Q114,13,FALSE)),VLOOKUP("2.1",A4:Q114,13,FALSE),0) + IF(ISNUMBER(VLOOKUP("2.1.2",A4:Q114,13,FALSE)),VLOOKUP("2.1.2",A4:Q114,13,FALSE),0)</f>
        <v>17514139</v>
      </c>
      <c r="N49" s="12">
        <f>IF(ISNUMBER(VLOOKUP("1.1",A4:Q114,14,FALSE)),VLOOKUP("1.1",A4:Q114,14,FALSE),0) + IF(ISNUMBER(VLOOKUP("4.1",A4:Q114,14,FALSE)),VLOOKUP("4.1",A4:Q114,14,FALSE),0) + IF(ISNUMBER(VLOOKUP("4.2",A4:Q114,14,FALSE)),VLOOKUP("4.2",A4:Q114,14,FALSE),0) - IF(ISNUMBER(VLOOKUP("2.1",A4:Q114,14,FALSE)),VLOOKUP("2.1",A4:Q114,14,FALSE),0) + IF(ISNUMBER(VLOOKUP("2.1.2",A4:Q114,14,FALSE)),VLOOKUP("2.1.2",A4:Q114,14,FALSE),0)</f>
        <v>18103413</v>
      </c>
      <c r="O49" s="12">
        <f>IF(ISNUMBER(VLOOKUP("1.1",A4:Q114,15,FALSE)),VLOOKUP("1.1",A4:Q114,15,FALSE),0) + IF(ISNUMBER(VLOOKUP("4.1",A4:Q114,15,FALSE)),VLOOKUP("4.1",A4:Q114,15,FALSE),0) + IF(ISNUMBER(VLOOKUP("4.2",A4:Q114,15,FALSE)),VLOOKUP("4.2",A4:Q114,15,FALSE),0) - IF(ISNUMBER(VLOOKUP("2.1",A4:Q114,15,FALSE)),VLOOKUP("2.1",A4:Q114,15,FALSE),0) + IF(ISNUMBER(VLOOKUP("2.1.2",A4:Q114,15,FALSE)),VLOOKUP("2.1.2",A4:Q114,15,FALSE),0)</f>
        <v>18599368</v>
      </c>
      <c r="P49" s="12">
        <f>IF(ISNUMBER(VLOOKUP("1.1",A4:Q114,16,FALSE)),VLOOKUP("1.1",A4:Q114,16,FALSE),0) + IF(ISNUMBER(VLOOKUP("4.1",A4:Q114,16,FALSE)),VLOOKUP("4.1",A4:Q114,16,FALSE),0) + IF(ISNUMBER(VLOOKUP("4.2",A4:Q114,16,FALSE)),VLOOKUP("4.2",A4:Q114,16,FALSE),0) - IF(ISNUMBER(VLOOKUP("2.1",A4:Q114,16,FALSE)),VLOOKUP("2.1",A4:Q114,16,FALSE),0) + IF(ISNUMBER(VLOOKUP("2.1.2",A4:Q114,16,FALSE)),VLOOKUP("2.1.2",A4:Q114,16,FALSE),0)</f>
        <v>18996879</v>
      </c>
      <c r="Q49" s="12">
        <f>IF(ISNUMBER(VLOOKUP("1.1",A4:Q114,17,FALSE)),VLOOKUP("1.1",A4:Q114,17,FALSE),0) + IF(ISNUMBER(VLOOKUP("4.1",A4:Q114,17,FALSE)),VLOOKUP("4.1",A4:Q114,17,FALSE),0) + IF(ISNUMBER(VLOOKUP("4.2",A4:Q114,17,FALSE)),VLOOKUP("4.2",A4:Q114,17,FALSE),0) - IF(ISNUMBER(VLOOKUP("2.1",A4:Q114,17,FALSE)),VLOOKUP("2.1",A4:Q114,17,FALSE),0) + IF(ISNUMBER(VLOOKUP("2.1.2",A4:Q114,17,FALSE)),VLOOKUP("2.1.2",A4:Q114,17,FALSE),0)</f>
        <v>19443816</v>
      </c>
    </row>
    <row r="50" spans="1:17" s="6" customFormat="1" ht="14.25" customHeight="1" x14ac:dyDescent="0.2">
      <c r="A50" s="7" t="s">
        <v>105</v>
      </c>
      <c r="B50" s="8" t="s">
        <v>106</v>
      </c>
      <c r="C50" s="23" t="s">
        <v>52</v>
      </c>
      <c r="D50" s="23" t="s">
        <v>52</v>
      </c>
      <c r="E50" s="23" t="s">
        <v>52</v>
      </c>
      <c r="F50" s="23" t="s">
        <v>52</v>
      </c>
      <c r="G50" s="23" t="s">
        <v>52</v>
      </c>
      <c r="H50" s="23" t="s">
        <v>52</v>
      </c>
      <c r="I50" s="23" t="s">
        <v>52</v>
      </c>
      <c r="J50" s="23" t="s">
        <v>52</v>
      </c>
      <c r="K50" s="23" t="s">
        <v>52</v>
      </c>
      <c r="L50" s="23" t="s">
        <v>52</v>
      </c>
      <c r="M50" s="23" t="s">
        <v>52</v>
      </c>
      <c r="N50" s="23" t="s">
        <v>52</v>
      </c>
      <c r="O50" s="23" t="s">
        <v>52</v>
      </c>
      <c r="P50" s="23" t="s">
        <v>52</v>
      </c>
      <c r="Q50" s="23" t="s">
        <v>52</v>
      </c>
    </row>
    <row r="51" spans="1:17" s="6" customFormat="1" ht="79.5" customHeight="1" x14ac:dyDescent="0.2">
      <c r="A51" s="13" t="s">
        <v>107</v>
      </c>
      <c r="B51" s="14" t="s">
        <v>108</v>
      </c>
      <c r="C51" s="15">
        <f>(IF(ISNUMBER(VLOOKUP("2.1.1",A4:Q114,3,FALSE)),VLOOKUP("2.1.1",A4:Q114,3,FALSE),0) + IF(ISNUMBER(VLOOKUP("2.1.3.1",A4:Q114,3,FALSE)),VLOOKUP("2.1.3.1",A4:Q114,3,FALSE),0) + IF(ISNUMBER(VLOOKUP("5.1",A4:Q114,3,FALSE)),VLOOKUP("5.1",A4:Q114,3,FALSE),0)) / IF(ISNUMBER(VLOOKUP("1",A4:Q114,3,FALSE)),VLOOKUP("1",A4:Q114,3,FALSE),0)</f>
        <v>3.0534878907910977E-2</v>
      </c>
      <c r="D51" s="15">
        <f>(IF(ISNUMBER(VLOOKUP("2.1.1",A4:Q114,4,FALSE)),VLOOKUP("2.1.1",A4:Q114,4,FALSE),0) + IF(ISNUMBER(VLOOKUP("2.1.3.1",A4:Q114,4,FALSE)),VLOOKUP("2.1.3.1",A4:Q114,4,FALSE),0) + IF(ISNUMBER(VLOOKUP("5.1",A4:Q114,4,FALSE)),VLOOKUP("5.1",A4:Q114,4,FALSE),0)) / IF(ISNUMBER(VLOOKUP("1",A4:Q114,4,FALSE)),VLOOKUP("1",A4:Q114,4,FALSE),0)</f>
        <v>3.4221994418449274E-2</v>
      </c>
      <c r="E51" s="15">
        <f>(IF(ISNUMBER(VLOOKUP("2.1.1",A4:Q114,5,FALSE)),VLOOKUP("2.1.1",A4:Q114,5,FALSE),0) + IF(ISNUMBER(VLOOKUP("2.1.3.1",A4:Q114,5,FALSE)),VLOOKUP("2.1.3.1",A4:Q114,5,FALSE),0) + IF(ISNUMBER(VLOOKUP("5.1",A4:Q114,5,FALSE)),VLOOKUP("5.1",A4:Q114,5,FALSE),0)) / IF(ISNUMBER(VLOOKUP("1",A4:Q114,5,FALSE)),VLOOKUP("1",A4:Q114,5,FALSE),0)</f>
        <v>4.3044687487412227E-2</v>
      </c>
      <c r="F51" s="15">
        <f>(IF(ISNUMBER(VLOOKUP("2.1.1",A4:Q114,6,FALSE)),VLOOKUP("2.1.1",A4:Q114,6,FALSE),0) + IF(ISNUMBER(VLOOKUP("2.1.3.1",A4:Q114,6,FALSE)),VLOOKUP("2.1.3.1",A4:Q114,6,FALSE),0) + IF(ISNUMBER(VLOOKUP("5.1",A4:Q114,6,FALSE)),VLOOKUP("5.1",A4:Q114,6,FALSE),0)) / IF(ISNUMBER(VLOOKUP("1",A4:Q114,6,FALSE)),VLOOKUP("1",A4:Q114,6,FALSE),0)</f>
        <v>3.5690973533206653E-2</v>
      </c>
      <c r="G51" s="15">
        <f>(IF(ISNUMBER(VLOOKUP("2.1.1",A4:Q114,7,FALSE)),VLOOKUP("2.1.1",A4:Q114,7,FALSE),0) + IF(ISNUMBER(VLOOKUP("2.1.3.1",A4:Q114,7,FALSE)),VLOOKUP("2.1.3.1",A4:Q114,7,FALSE),0) + IF(ISNUMBER(VLOOKUP("5.1",A4:Q114,7,FALSE)),VLOOKUP("5.1",A4:Q114,7,FALSE),0)) / IF(ISNUMBER(VLOOKUP("1",A4:Q114,7,FALSE)),VLOOKUP("1",A4:Q114,7,FALSE),0)</f>
        <v>3.8801340004214299E-2</v>
      </c>
      <c r="H51" s="15">
        <f>(IF(ISNUMBER(VLOOKUP("2.1.1",A4:Q114,8,FALSE)),VLOOKUP("2.1.1",A4:Q114,8,FALSE),0) + IF(ISNUMBER(VLOOKUP("2.1.3.1",A4:Q114,8,FALSE)),VLOOKUP("2.1.3.1",A4:Q114,8,FALSE),0) + IF(ISNUMBER(VLOOKUP("5.1",A4:Q114,8,FALSE)),VLOOKUP("5.1",A4:Q114,8,FALSE),0)) / IF(ISNUMBER(VLOOKUP("1",A4:Q114,8,FALSE)),VLOOKUP("1",A4:Q114,8,FALSE),0)</f>
        <v>4.040814544533116E-2</v>
      </c>
      <c r="I51" s="15">
        <f>(IF(ISNUMBER(VLOOKUP("2.1.1",A4:Q114,9,FALSE)),VLOOKUP("2.1.1",A4:Q114,9,FALSE),0) + IF(ISNUMBER(VLOOKUP("2.1.3.1",A4:Q114,9,FALSE)),VLOOKUP("2.1.3.1",A4:Q114,9,FALSE),0) + IF(ISNUMBER(VLOOKUP("5.1",A4:Q114,9,FALSE)),VLOOKUP("5.1",A4:Q114,9,FALSE),0)) / IF(ISNUMBER(VLOOKUP("1",A4:Q114,9,FALSE)),VLOOKUP("1",A4:Q114,9,FALSE),0)</f>
        <v>3.9954406834355138E-2</v>
      </c>
      <c r="J51" s="15">
        <f>(IF(ISNUMBER(VLOOKUP("2.1.1",A4:Q114,10,FALSE)),VLOOKUP("2.1.1",A4:Q114,10,FALSE),0) + IF(ISNUMBER(VLOOKUP("2.1.3.1",A4:Q114,10,FALSE)),VLOOKUP("2.1.3.1",A4:Q114,10,FALSE),0) + IF(ISNUMBER(VLOOKUP("5.1",A4:Q114,10,FALSE)),VLOOKUP("5.1",A4:Q114,10,FALSE),0)) / IF(ISNUMBER(VLOOKUP("1",A4:Q114,10,FALSE)),VLOOKUP("1",A4:Q114,10,FALSE),0)</f>
        <v>3.254059614632366E-2</v>
      </c>
      <c r="K51" s="15">
        <f>(IF(ISNUMBER(VLOOKUP("2.1.1",A4:Q114,11,FALSE)),VLOOKUP("2.1.1",A4:Q114,11,FALSE),0) + IF(ISNUMBER(VLOOKUP("2.1.3.1",A4:Q114,11,FALSE)),VLOOKUP("2.1.3.1",A4:Q114,11,FALSE),0) + IF(ISNUMBER(VLOOKUP("5.1",A4:Q114,11,FALSE)),VLOOKUP("5.1",A4:Q114,11,FALSE),0)) / IF(ISNUMBER(VLOOKUP("1",A4:Q114,11,FALSE)),VLOOKUP("1",A4:Q114,11,FALSE),0)</f>
        <v>3.0532111976473469E-2</v>
      </c>
      <c r="L51" s="15">
        <f>(IF(ISNUMBER(VLOOKUP("2.1.1",A4:Q114,12,FALSE)),VLOOKUP("2.1.1",A4:Q114,12,FALSE),0) + IF(ISNUMBER(VLOOKUP("2.1.3.1",A4:Q114,12,FALSE)),VLOOKUP("2.1.3.1",A4:Q114,12,FALSE),0) + IF(ISNUMBER(VLOOKUP("5.1",A4:Q114,12,FALSE)),VLOOKUP("5.1",A4:Q114,12,FALSE),0)) / IF(ISNUMBER(VLOOKUP("1",A4:Q114,12,FALSE)),VLOOKUP("1",A4:Q114,12,FALSE),0)</f>
        <v>2.545702323786565E-2</v>
      </c>
      <c r="M51" s="15">
        <f>(IF(ISNUMBER(VLOOKUP("2.1.1",A4:Q114,13,FALSE)),VLOOKUP("2.1.1",A4:Q114,13,FALSE),0) + IF(ISNUMBER(VLOOKUP("2.1.3.1",A4:Q114,13,FALSE)),VLOOKUP("2.1.3.1",A4:Q114,13,FALSE),0) + IF(ISNUMBER(VLOOKUP("5.1",A4:Q114,13,FALSE)),VLOOKUP("5.1",A4:Q114,13,FALSE),0)) / IF(ISNUMBER(VLOOKUP("1",A4:Q114,13,FALSE)),VLOOKUP("1",A4:Q114,13,FALSE),0)</f>
        <v>1.1444846761165875E-2</v>
      </c>
      <c r="N51" s="15">
        <f>(IF(ISNUMBER(VLOOKUP("2.1.1",A4:Q114,14,FALSE)),VLOOKUP("2.1.1",A4:Q114,14,FALSE),0) + IF(ISNUMBER(VLOOKUP("2.1.3.1",A4:Q114,14,FALSE)),VLOOKUP("2.1.3.1",A4:Q114,14,FALSE),0) + IF(ISNUMBER(VLOOKUP("5.1",A4:Q114,14,FALSE)),VLOOKUP("5.1",A4:Q114,14,FALSE),0)) / IF(ISNUMBER(VLOOKUP("1",A4:Q114,14,FALSE)),VLOOKUP("1",A4:Q114,14,FALSE),0)</f>
        <v>8.2060531721102562E-3</v>
      </c>
      <c r="O51" s="15">
        <f>(IF(ISNUMBER(VLOOKUP("2.1.1",A4:Q114,15,FALSE)),VLOOKUP("2.1.1",A4:Q114,15,FALSE),0) + IF(ISNUMBER(VLOOKUP("2.1.3.1",A4:Q114,15,FALSE)),VLOOKUP("2.1.3.1",A4:Q114,15,FALSE),0) + IF(ISNUMBER(VLOOKUP("5.1",A4:Q114,15,FALSE)),VLOOKUP("5.1",A4:Q114,15,FALSE),0)) / IF(ISNUMBER(VLOOKUP("1",A4:Q114,15,FALSE)),VLOOKUP("1",A4:Q114,15,FALSE),0)</f>
        <v>7.2723155108437246E-3</v>
      </c>
      <c r="P51" s="15">
        <f>(IF(ISNUMBER(VLOOKUP("2.1.1",A4:Q114,16,FALSE)),VLOOKUP("2.1.1",A4:Q114,16,FALSE),0) + IF(ISNUMBER(VLOOKUP("2.1.3.1",A4:Q114,16,FALSE)),VLOOKUP("2.1.3.1",A4:Q114,16,FALSE),0) + IF(ISNUMBER(VLOOKUP("5.1",A4:Q114,16,FALSE)),VLOOKUP("5.1",A4:Q114,16,FALSE),0)) / IF(ISNUMBER(VLOOKUP("1",A4:Q114,16,FALSE)),VLOOKUP("1",A4:Q114,16,FALSE),0)</f>
        <v>6.595309046428216E-3</v>
      </c>
      <c r="Q51" s="15">
        <f>(IF(ISNUMBER(VLOOKUP("2.1.1",A4:Q114,17,FALSE)),VLOOKUP("2.1.1",A4:Q114,17,FALSE),0) + IF(ISNUMBER(VLOOKUP("2.1.3.1",A4:Q114,17,FALSE)),VLOOKUP("2.1.3.1",A4:Q114,17,FALSE),0) + IF(ISNUMBER(VLOOKUP("5.1",A4:Q114,17,FALSE)),VLOOKUP("5.1",A4:Q114,17,FALSE),0)) / IF(ISNUMBER(VLOOKUP("1",A4:Q114,17,FALSE)),VLOOKUP("1",A4:Q114,17,FALSE),0)</f>
        <v>2.6658312414542637E-3</v>
      </c>
    </row>
    <row r="52" spans="1:17" s="6" customFormat="1" ht="78.75" customHeight="1" x14ac:dyDescent="0.2">
      <c r="A52" s="13" t="s">
        <v>109</v>
      </c>
      <c r="B52" s="14" t="s">
        <v>110</v>
      </c>
      <c r="C52" s="15">
        <f>(IF(ISNUMBER(VLOOKUP("2.1.1",A4:Q114,3,FALSE)),VLOOKUP("2.1.1",A4:Q114,3,FALSE),0) - IF(ISNUMBER(VLOOKUP("2.1.1.1",A4:Q114,3,FALSE)),VLOOKUP("2.1.1.1",A4:Q114,3,FALSE),0) + IF(ISNUMBER(VLOOKUP("2.1.3.1",A4:Q114,3,FALSE)),VLOOKUP("2.1.3.1",A4:Q114,3,FALSE),0) - IF(ISNUMBER(VLOOKUP("2.1.3.1.1",A4:Q114,3,FALSE)),VLOOKUP("2.1.3.1.1",A4:Q114,3,FALSE),0) - IF(ISNUMBER(VLOOKUP("2.1.3.1.2",A4:Q114,3,FALSE)),VLOOKUP("2.1.3.1.2",A4:Q114,3,FALSE),0) + IF(ISNUMBER(VLOOKUP("5.1",A4:Q114,3,FALSE)),VLOOKUP("5.1",A4:Q114,3,FALSE),0) - IF(ISNUMBER(VLOOKUP("5.1.1",A4:Q114,3,FALSE)),VLOOKUP("5.1.1",A4:Q114,3,FALSE),0)) / (IF(ISNUMBER(VLOOKUP("1",A4:Q114,3,FALSE)),VLOOKUP("1",A4:Q114,3,FALSE),0) - IF(ISNA(VLOOKUP("15.1.1",A4:Q114,3,FALSE)),0,VLOOKUP("15.1.1",A4:Q114,3,FALSE)))</f>
        <v>3.0534878907910977E-2</v>
      </c>
      <c r="D52" s="15">
        <f>(IF(ISNUMBER(VLOOKUP("2.1.1",A4:Q114,4,FALSE)),VLOOKUP("2.1.1",A4:Q114,4,FALSE),0) - IF(ISNUMBER(VLOOKUP("2.1.1.1",A4:Q114,4,FALSE)),VLOOKUP("2.1.1.1",A4:Q114,4,FALSE),0) + IF(ISNUMBER(VLOOKUP("2.1.3.1",A4:Q114,4,FALSE)),VLOOKUP("2.1.3.1",A4:Q114,4,FALSE),0) - IF(ISNUMBER(VLOOKUP("2.1.3.1.1",A4:Q114,4,FALSE)),VLOOKUP("2.1.3.1.1",A4:Q114,4,FALSE),0) - IF(ISNUMBER(VLOOKUP("2.1.3.1.2",A4:Q114,4,FALSE)),VLOOKUP("2.1.3.1.2",A4:Q114,4,FALSE),0) + IF(ISNUMBER(VLOOKUP("5.1",A4:Q114,4,FALSE)),VLOOKUP("5.1",A4:Q114,4,FALSE),0) - IF(ISNUMBER(VLOOKUP("5.1.1",A4:Q114,4,FALSE)),VLOOKUP("5.1.1",A4:Q114,4,FALSE),0)) / (IF(ISNUMBER(VLOOKUP("1",A4:Q114,4,FALSE)),VLOOKUP("1",A4:Q114,4,FALSE),0) - IF(ISNA(VLOOKUP("15.1.1",A4:Q114,4,FALSE)),0,VLOOKUP("15.1.1",A4:Q114,4,FALSE)))</f>
        <v>3.4221994418449274E-2</v>
      </c>
      <c r="E52" s="15">
        <f>(IF(ISNUMBER(VLOOKUP("2.1.1",A4:Q114,5,FALSE)),VLOOKUP("2.1.1",A4:Q114,5,FALSE),0) - IF(ISNUMBER(VLOOKUP("2.1.1.1",A4:Q114,5,FALSE)),VLOOKUP("2.1.1.1",A4:Q114,5,FALSE),0) + IF(ISNUMBER(VLOOKUP("2.1.3.1",A4:Q114,5,FALSE)),VLOOKUP("2.1.3.1",A4:Q114,5,FALSE),0) - IF(ISNUMBER(VLOOKUP("2.1.3.1.1",A4:Q114,5,FALSE)),VLOOKUP("2.1.3.1.1",A4:Q114,5,FALSE),0) - IF(ISNUMBER(VLOOKUP("2.1.3.1.2",A4:Q114,5,FALSE)),VLOOKUP("2.1.3.1.2",A4:Q114,5,FALSE),0) + IF(ISNUMBER(VLOOKUP("5.1",A4:Q114,5,FALSE)),VLOOKUP("5.1",A4:Q114,5,FALSE),0) - IF(ISNUMBER(VLOOKUP("5.1.1",A4:Q114,5,FALSE)),VLOOKUP("5.1.1",A4:Q114,5,FALSE),0)) / (IF(ISNUMBER(VLOOKUP("1",A4:Q114,5,FALSE)),VLOOKUP("1",A4:Q114,5,FALSE),0) - IF(ISNA(VLOOKUP("15.1.1",A4:Q114,5,FALSE)),0,VLOOKUP("15.1.1",A4:Q114,5,FALSE)))</f>
        <v>4.3044687487412227E-2</v>
      </c>
      <c r="F52" s="15">
        <f>(IF(ISNUMBER(VLOOKUP("2.1.1",A4:Q114,6,FALSE)),VLOOKUP("2.1.1",A4:Q114,6,FALSE),0) - IF(ISNUMBER(VLOOKUP("2.1.1.1",A4:Q114,6,FALSE)),VLOOKUP("2.1.1.1",A4:Q114,6,FALSE),0) + IF(ISNUMBER(VLOOKUP("2.1.3.1",A4:Q114,6,FALSE)),VLOOKUP("2.1.3.1",A4:Q114,6,FALSE),0) - IF(ISNUMBER(VLOOKUP("2.1.3.1.1",A4:Q114,6,FALSE)),VLOOKUP("2.1.3.1.1",A4:Q114,6,FALSE),0) - IF(ISNUMBER(VLOOKUP("2.1.3.1.2",A4:Q114,6,FALSE)),VLOOKUP("2.1.3.1.2",A4:Q114,6,FALSE),0) + IF(ISNUMBER(VLOOKUP("5.1",A4:Q114,6,FALSE)),VLOOKUP("5.1",A4:Q114,6,FALSE),0) - IF(ISNUMBER(VLOOKUP("5.1.1",A4:Q114,6,FALSE)),VLOOKUP("5.1.1",A4:Q114,6,FALSE),0)) / (IF(ISNUMBER(VLOOKUP("1",A4:Q114,6,FALSE)),VLOOKUP("1",A4:Q114,6,FALSE),0) - IF(ISNA(VLOOKUP("15.1.1",A4:Q114,6,FALSE)),0,VLOOKUP("15.1.1",A4:Q114,6,FALSE)))</f>
        <v>3.5690973533206653E-2</v>
      </c>
      <c r="G52" s="15">
        <f>(IF(ISNUMBER(VLOOKUP("2.1.1",A4:Q114,7,FALSE)),VLOOKUP("2.1.1",A4:Q114,7,FALSE),0) - IF(ISNUMBER(VLOOKUP("2.1.1.1",A4:Q114,7,FALSE)),VLOOKUP("2.1.1.1",A4:Q114,7,FALSE),0) + IF(ISNUMBER(VLOOKUP("2.1.3.1",A4:Q114,7,FALSE)),VLOOKUP("2.1.3.1",A4:Q114,7,FALSE),0) - IF(ISNUMBER(VLOOKUP("2.1.3.1.1",A4:Q114,7,FALSE)),VLOOKUP("2.1.3.1.1",A4:Q114,7,FALSE),0) - IF(ISNUMBER(VLOOKUP("2.1.3.1.2",A4:Q114,7,FALSE)),VLOOKUP("2.1.3.1.2",A4:Q114,7,FALSE),0) + IF(ISNUMBER(VLOOKUP("5.1",A4:Q114,7,FALSE)),VLOOKUP("5.1",A4:Q114,7,FALSE),0) - IF(ISNUMBER(VLOOKUP("5.1.1",A4:Q114,7,FALSE)),VLOOKUP("5.1.1",A4:Q114,7,FALSE),0)) / (IF(ISNUMBER(VLOOKUP("1",A4:Q114,7,FALSE)),VLOOKUP("1",A4:Q114,7,FALSE),0) - IF(ISNA(VLOOKUP("15.1.1",A4:Q114,7,FALSE)),0,VLOOKUP("15.1.1",A4:Q114,7,FALSE)))</f>
        <v>3.8801340004214299E-2</v>
      </c>
      <c r="H52" s="15">
        <f>(IF(ISNUMBER(VLOOKUP("2.1.1",A4:Q114,8,FALSE)),VLOOKUP("2.1.1",A4:Q114,8,FALSE),0) - IF(ISNUMBER(VLOOKUP("2.1.1.1",A4:Q114,8,FALSE)),VLOOKUP("2.1.1.1",A4:Q114,8,FALSE),0) + IF(ISNUMBER(VLOOKUP("2.1.3.1",A4:Q114,8,FALSE)),VLOOKUP("2.1.3.1",A4:Q114,8,FALSE),0) - IF(ISNUMBER(VLOOKUP("2.1.3.1.1",A4:Q114,8,FALSE)),VLOOKUP("2.1.3.1.1",A4:Q114,8,FALSE),0) - IF(ISNUMBER(VLOOKUP("2.1.3.1.2",A4:Q114,8,FALSE)),VLOOKUP("2.1.3.1.2",A4:Q114,8,FALSE),0) + IF(ISNUMBER(VLOOKUP("5.1",A4:Q114,8,FALSE)),VLOOKUP("5.1",A4:Q114,8,FALSE),0) - IF(ISNUMBER(VLOOKUP("5.1.1",A4:Q114,8,FALSE)),VLOOKUP("5.1.1",A4:Q114,8,FALSE),0)) / (IF(ISNUMBER(VLOOKUP("1",A4:Q114,8,FALSE)),VLOOKUP("1",A4:Q114,8,FALSE),0) - IF(ISNA(VLOOKUP("15.1.1",A4:Q114,8,FALSE)),0,VLOOKUP("15.1.1",A4:Q114,8,FALSE)))</f>
        <v>4.040814544533116E-2</v>
      </c>
      <c r="I52" s="15">
        <f>(IF(ISNUMBER(VLOOKUP("2.1.1",A4:Q114,9,FALSE)),VLOOKUP("2.1.1",A4:Q114,9,FALSE),0) - IF(ISNUMBER(VLOOKUP("2.1.1.1",A4:Q114,9,FALSE)),VLOOKUP("2.1.1.1",A4:Q114,9,FALSE),0) + IF(ISNUMBER(VLOOKUP("2.1.3.1",A4:Q114,9,FALSE)),VLOOKUP("2.1.3.1",A4:Q114,9,FALSE),0) - IF(ISNUMBER(VLOOKUP("2.1.3.1.1",A4:Q114,9,FALSE)),VLOOKUP("2.1.3.1.1",A4:Q114,9,FALSE),0) - IF(ISNUMBER(VLOOKUP("2.1.3.1.2",A4:Q114,9,FALSE)),VLOOKUP("2.1.3.1.2",A4:Q114,9,FALSE),0) + IF(ISNUMBER(VLOOKUP("5.1",A4:Q114,9,FALSE)),VLOOKUP("5.1",A4:Q114,9,FALSE),0) - IF(ISNUMBER(VLOOKUP("5.1.1",A4:Q114,9,FALSE)),VLOOKUP("5.1.1",A4:Q114,9,FALSE),0)) / (IF(ISNUMBER(VLOOKUP("1",A4:Q114,9,FALSE)),VLOOKUP("1",A4:Q114,9,FALSE),0) - IF(ISNA(VLOOKUP("15.1.1",A4:Q114,9,FALSE)),0,VLOOKUP("15.1.1",A4:Q114,9,FALSE)))</f>
        <v>3.9954406834355138E-2</v>
      </c>
      <c r="J52" s="15">
        <f>(IF(ISNUMBER(VLOOKUP("2.1.1",A4:Q114,10,FALSE)),VLOOKUP("2.1.1",A4:Q114,10,FALSE),0) - IF(ISNUMBER(VLOOKUP("2.1.1.1",A4:Q114,10,FALSE)),VLOOKUP("2.1.1.1",A4:Q114,10,FALSE),0) + IF(ISNUMBER(VLOOKUP("2.1.3.1",A4:Q114,10,FALSE)),VLOOKUP("2.1.3.1",A4:Q114,10,FALSE),0) - IF(ISNUMBER(VLOOKUP("2.1.3.1.1",A4:Q114,10,FALSE)),VLOOKUP("2.1.3.1.1",A4:Q114,10,FALSE),0) - IF(ISNUMBER(VLOOKUP("2.1.3.1.2",A4:Q114,10,FALSE)),VLOOKUP("2.1.3.1.2",A4:Q114,10,FALSE),0) + IF(ISNUMBER(VLOOKUP("5.1",A4:Q114,10,FALSE)),VLOOKUP("5.1",A4:Q114,10,FALSE),0) - IF(ISNUMBER(VLOOKUP("5.1.1",A4:Q114,10,FALSE)),VLOOKUP("5.1.1",A4:Q114,10,FALSE),0)) / (IF(ISNUMBER(VLOOKUP("1",A4:Q114,10,FALSE)),VLOOKUP("1",A4:Q114,10,FALSE),0) - IF(ISNA(VLOOKUP("15.1.1",A4:Q114,10,FALSE)),0,VLOOKUP("15.1.1",A4:Q114,10,FALSE)))</f>
        <v>3.254059614632366E-2</v>
      </c>
      <c r="K52" s="15">
        <f>(IF(ISNUMBER(VLOOKUP("2.1.1",A4:Q114,11,FALSE)),VLOOKUP("2.1.1",A4:Q114,11,FALSE),0) - IF(ISNUMBER(VLOOKUP("2.1.1.1",A4:Q114,11,FALSE)),VLOOKUP("2.1.1.1",A4:Q114,11,FALSE),0) + IF(ISNUMBER(VLOOKUP("2.1.3.1",A4:Q114,11,FALSE)),VLOOKUP("2.1.3.1",A4:Q114,11,FALSE),0) - IF(ISNUMBER(VLOOKUP("2.1.3.1.1",A4:Q114,11,FALSE)),VLOOKUP("2.1.3.1.1",A4:Q114,11,FALSE),0) - IF(ISNUMBER(VLOOKUP("2.1.3.1.2",A4:Q114,11,FALSE)),VLOOKUP("2.1.3.1.2",A4:Q114,11,FALSE),0) + IF(ISNUMBER(VLOOKUP("5.1",A4:Q114,11,FALSE)),VLOOKUP("5.1",A4:Q114,11,FALSE),0) - IF(ISNUMBER(VLOOKUP("5.1.1",A4:Q114,11,FALSE)),VLOOKUP("5.1.1",A4:Q114,11,FALSE),0)) / (IF(ISNUMBER(VLOOKUP("1",A4:Q114,11,FALSE)),VLOOKUP("1",A4:Q114,11,FALSE),0) - IF(ISNA(VLOOKUP("15.1.1",A4:Q114,11,FALSE)),0,VLOOKUP("15.1.1",A4:Q114,11,FALSE)))</f>
        <v>3.0532111976473469E-2</v>
      </c>
      <c r="L52" s="15">
        <f>(IF(ISNUMBER(VLOOKUP("2.1.1",A4:Q114,12,FALSE)),VLOOKUP("2.1.1",A4:Q114,12,FALSE),0) - IF(ISNUMBER(VLOOKUP("2.1.1.1",A4:Q114,12,FALSE)),VLOOKUP("2.1.1.1",A4:Q114,12,FALSE),0) + IF(ISNUMBER(VLOOKUP("2.1.3.1",A4:Q114,12,FALSE)),VLOOKUP("2.1.3.1",A4:Q114,12,FALSE),0) - IF(ISNUMBER(VLOOKUP("2.1.3.1.1",A4:Q114,12,FALSE)),VLOOKUP("2.1.3.1.1",A4:Q114,12,FALSE),0) - IF(ISNUMBER(VLOOKUP("2.1.3.1.2",A4:Q114,12,FALSE)),VLOOKUP("2.1.3.1.2",A4:Q114,12,FALSE),0) + IF(ISNUMBER(VLOOKUP("5.1",A4:Q114,12,FALSE)),VLOOKUP("5.1",A4:Q114,12,FALSE),0) - IF(ISNUMBER(VLOOKUP("5.1.1",A4:Q114,12,FALSE)),VLOOKUP("5.1.1",A4:Q114,12,FALSE),0)) / (IF(ISNUMBER(VLOOKUP("1",A4:Q114,12,FALSE)),VLOOKUP("1",A4:Q114,12,FALSE),0) - IF(ISNA(VLOOKUP("15.1.1",A4:Q114,12,FALSE)),0,VLOOKUP("15.1.1",A4:Q114,12,FALSE)))</f>
        <v>2.545702323786565E-2</v>
      </c>
      <c r="M52" s="15">
        <f>(IF(ISNUMBER(VLOOKUP("2.1.1",A4:Q114,13,FALSE)),VLOOKUP("2.1.1",A4:Q114,13,FALSE),0) - IF(ISNUMBER(VLOOKUP("2.1.1.1",A4:Q114,13,FALSE)),VLOOKUP("2.1.1.1",A4:Q114,13,FALSE),0) + IF(ISNUMBER(VLOOKUP("2.1.3.1",A4:Q114,13,FALSE)),VLOOKUP("2.1.3.1",A4:Q114,13,FALSE),0) - IF(ISNUMBER(VLOOKUP("2.1.3.1.1",A4:Q114,13,FALSE)),VLOOKUP("2.1.3.1.1",A4:Q114,13,FALSE),0) - IF(ISNUMBER(VLOOKUP("2.1.3.1.2",A4:Q114,13,FALSE)),VLOOKUP("2.1.3.1.2",A4:Q114,13,FALSE),0) + IF(ISNUMBER(VLOOKUP("5.1",A4:Q114,13,FALSE)),VLOOKUP("5.1",A4:Q114,13,FALSE),0) - IF(ISNUMBER(VLOOKUP("5.1.1",A4:Q114,13,FALSE)),VLOOKUP("5.1.1",A4:Q114,13,FALSE),0)) / (IF(ISNUMBER(VLOOKUP("1",A4:Q114,13,FALSE)),VLOOKUP("1",A4:Q114,13,FALSE),0) - IF(ISNA(VLOOKUP("15.1.1",A4:Q114,13,FALSE)),0,VLOOKUP("15.1.1",A4:Q114,13,FALSE)))</f>
        <v>1.1444846761165875E-2</v>
      </c>
      <c r="N52" s="15">
        <f>(IF(ISNUMBER(VLOOKUP("2.1.1",A4:Q114,14,FALSE)),VLOOKUP("2.1.1",A4:Q114,14,FALSE),0) - IF(ISNUMBER(VLOOKUP("2.1.1.1",A4:Q114,14,FALSE)),VLOOKUP("2.1.1.1",A4:Q114,14,FALSE),0) + IF(ISNUMBER(VLOOKUP("2.1.3.1",A4:Q114,14,FALSE)),VLOOKUP("2.1.3.1",A4:Q114,14,FALSE),0) - IF(ISNUMBER(VLOOKUP("2.1.3.1.1",A4:Q114,14,FALSE)),VLOOKUP("2.1.3.1.1",A4:Q114,14,FALSE),0) - IF(ISNUMBER(VLOOKUP("2.1.3.1.2",A4:Q114,14,FALSE)),VLOOKUP("2.1.3.1.2",A4:Q114,14,FALSE),0) + IF(ISNUMBER(VLOOKUP("5.1",A4:Q114,14,FALSE)),VLOOKUP("5.1",A4:Q114,14,FALSE),0) - IF(ISNUMBER(VLOOKUP("5.1.1",A4:Q114,14,FALSE)),VLOOKUP("5.1.1",A4:Q114,14,FALSE),0)) / (IF(ISNUMBER(VLOOKUP("1",A4:Q114,14,FALSE)),VLOOKUP("1",A4:Q114,14,FALSE),0) - IF(ISNA(VLOOKUP("15.1.1",A4:Q114,14,FALSE)),0,VLOOKUP("15.1.1",A4:Q114,14,FALSE)))</f>
        <v>8.2060531721102562E-3</v>
      </c>
      <c r="O52" s="15">
        <f>(IF(ISNUMBER(VLOOKUP("2.1.1",A4:Q114,15,FALSE)),VLOOKUP("2.1.1",A4:Q114,15,FALSE),0) - IF(ISNUMBER(VLOOKUP("2.1.1.1",A4:Q114,15,FALSE)),VLOOKUP("2.1.1.1",A4:Q114,15,FALSE),0) + IF(ISNUMBER(VLOOKUP("2.1.3.1",A4:Q114,15,FALSE)),VLOOKUP("2.1.3.1",A4:Q114,15,FALSE),0) - IF(ISNUMBER(VLOOKUP("2.1.3.1.1",A4:Q114,15,FALSE)),VLOOKUP("2.1.3.1.1",A4:Q114,15,FALSE),0) - IF(ISNUMBER(VLOOKUP("2.1.3.1.2",A4:Q114,15,FALSE)),VLOOKUP("2.1.3.1.2",A4:Q114,15,FALSE),0) + IF(ISNUMBER(VLOOKUP("5.1",A4:Q114,15,FALSE)),VLOOKUP("5.1",A4:Q114,15,FALSE),0) - IF(ISNUMBER(VLOOKUP("5.1.1",A4:Q114,15,FALSE)),VLOOKUP("5.1.1",A4:Q114,15,FALSE),0)) / (IF(ISNUMBER(VLOOKUP("1",A4:Q114,15,FALSE)),VLOOKUP("1",A4:Q114,15,FALSE),0) - IF(ISNA(VLOOKUP("15.1.1",A4:Q114,15,FALSE)),0,VLOOKUP("15.1.1",A4:Q114,15,FALSE)))</f>
        <v>7.2723155108437246E-3</v>
      </c>
      <c r="P52" s="15">
        <f>(IF(ISNUMBER(VLOOKUP("2.1.1",A4:Q114,16,FALSE)),VLOOKUP("2.1.1",A4:Q114,16,FALSE),0) - IF(ISNUMBER(VLOOKUP("2.1.1.1",A4:Q114,16,FALSE)),VLOOKUP("2.1.1.1",A4:Q114,16,FALSE),0) + IF(ISNUMBER(VLOOKUP("2.1.3.1",A4:Q114,16,FALSE)),VLOOKUP("2.1.3.1",A4:Q114,16,FALSE),0) - IF(ISNUMBER(VLOOKUP("2.1.3.1.1",A4:Q114,16,FALSE)),VLOOKUP("2.1.3.1.1",A4:Q114,16,FALSE),0) - IF(ISNUMBER(VLOOKUP("2.1.3.1.2",A4:Q114,16,FALSE)),VLOOKUP("2.1.3.1.2",A4:Q114,16,FALSE),0) + IF(ISNUMBER(VLOOKUP("5.1",A4:Q114,16,FALSE)),VLOOKUP("5.1",A4:Q114,16,FALSE),0) - IF(ISNUMBER(VLOOKUP("5.1.1",A4:Q114,16,FALSE)),VLOOKUP("5.1.1",A4:Q114,16,FALSE),0)) / (IF(ISNUMBER(VLOOKUP("1",A4:Q114,16,FALSE)),VLOOKUP("1",A4:Q114,16,FALSE),0) - IF(ISNA(VLOOKUP("15.1.1",A4:Q114,16,FALSE)),0,VLOOKUP("15.1.1",A4:Q114,16,FALSE)))</f>
        <v>6.595309046428216E-3</v>
      </c>
      <c r="Q52" s="15">
        <f>(IF(ISNUMBER(VLOOKUP("2.1.1",A4:Q114,17,FALSE)),VLOOKUP("2.1.1",A4:Q114,17,FALSE),0) - IF(ISNUMBER(VLOOKUP("2.1.1.1",A4:Q114,17,FALSE)),VLOOKUP("2.1.1.1",A4:Q114,17,FALSE),0) + IF(ISNUMBER(VLOOKUP("2.1.3.1",A4:Q114,17,FALSE)),VLOOKUP("2.1.3.1",A4:Q114,17,FALSE),0) - IF(ISNUMBER(VLOOKUP("2.1.3.1.1",A4:Q114,17,FALSE)),VLOOKUP("2.1.3.1.1",A4:Q114,17,FALSE),0) - IF(ISNUMBER(VLOOKUP("2.1.3.1.2",A4:Q114,17,FALSE)),VLOOKUP("2.1.3.1.2",A4:Q114,17,FALSE),0) + IF(ISNUMBER(VLOOKUP("5.1",A4:Q114,17,FALSE)),VLOOKUP("5.1",A4:Q114,17,FALSE),0) - IF(ISNUMBER(VLOOKUP("5.1.1",A4:Q114,17,FALSE)),VLOOKUP("5.1.1",A4:Q114,17,FALSE),0)) / (IF(ISNUMBER(VLOOKUP("1",A4:Q114,17,FALSE)),VLOOKUP("1",A4:Q114,17,FALSE),0) - IF(ISNA(VLOOKUP("15.1.1",A4:Q114,17,FALSE)),0,VLOOKUP("15.1.1",A4:Q114,17,FALSE)))</f>
        <v>2.6658312414542637E-3</v>
      </c>
    </row>
    <row r="53" spans="1:17" s="6" customFormat="1" ht="52.9" customHeight="1" x14ac:dyDescent="0.2">
      <c r="A53" s="10" t="s">
        <v>111</v>
      </c>
      <c r="B53" s="11" t="s">
        <v>112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s="6" customFormat="1" ht="77.25" customHeight="1" x14ac:dyDescent="0.2">
      <c r="A54" s="13" t="s">
        <v>113</v>
      </c>
      <c r="B54" s="14" t="s">
        <v>114</v>
      </c>
      <c r="C54" s="15">
        <f>(IF(ISNUMBER(VLOOKUP("2.1.1",A4:Q114,3,FALSE)),VLOOKUP("2.1.1",A4:Q114,3,FALSE),0) - IF(ISNUMBER(VLOOKUP("2.1.1.1",A4:Q114,3,FALSE)),VLOOKUP("2.1.1.1",A4:Q114,3,FALSE),0) + IF(ISNUMBER(VLOOKUP("2.1.3.1",A4:Q114,3,FALSE)),VLOOKUP("2.1.3.1",A4:Q114,3,FALSE),0) - IF(ISNUMBER(VLOOKUP("2.1.3.1.1",A4:Q114,3,FALSE)),VLOOKUP("2.1.3.1.1",A4:Q114,3,FALSE),0) - IF(ISNUMBER(VLOOKUP("2.1.3.1.2",A4:Q114,3,FALSE)),VLOOKUP("2.1.3.1.2",A4:Q114,3,FALSE),0) + IF(ISNUMBER(VLOOKUP("5.1",A4:Q114,3,FALSE)),VLOOKUP("5.1",A4:Q114,3,FALSE),0) - IF(ISNUMBER(VLOOKUP("5.1.1",A4:Q114,3,FALSE)),VLOOKUP("5.1.1",A4:Q114,3,FALSE),0) + IF(ISNUMBER(VLOOKUP("9.3",A4:Q114,3,FALSE)),VLOOKUP("9.3",A4:Q114,3,FALSE),0)) / (IF(ISNUMBER(VLOOKUP("1",A4:Q114,3,FALSE)),VLOOKUP("1",A4:Q114,3,FALSE),0) - IF(ISNA(VLOOKUP("15.1.1",A4:Q114,3,FALSE)),0,VLOOKUP("15.1.1",A4:Q114,3,FALSE)))</f>
        <v>3.0534878907910977E-2</v>
      </c>
      <c r="D54" s="15">
        <f>(IF(ISNUMBER(VLOOKUP("2.1.1",A4:Q114,4,FALSE)),VLOOKUP("2.1.1",A4:Q114,4,FALSE),0) - IF(ISNUMBER(VLOOKUP("2.1.1.1",A4:Q114,4,FALSE)),VLOOKUP("2.1.1.1",A4:Q114,4,FALSE),0) + IF(ISNUMBER(VLOOKUP("2.1.3.1",A4:Q114,4,FALSE)),VLOOKUP("2.1.3.1",A4:Q114,4,FALSE),0) - IF(ISNUMBER(VLOOKUP("2.1.3.1.1",A4:Q114,4,FALSE)),VLOOKUP("2.1.3.1.1",A4:Q114,4,FALSE),0) - IF(ISNUMBER(VLOOKUP("2.1.3.1.2",A4:Q114,4,FALSE)),VLOOKUP("2.1.3.1.2",A4:Q114,4,FALSE),0) + IF(ISNUMBER(VLOOKUP("5.1",A4:Q114,4,FALSE)),VLOOKUP("5.1",A4:Q114,4,FALSE),0) - IF(ISNUMBER(VLOOKUP("5.1.1",A4:Q114,4,FALSE)),VLOOKUP("5.1.1",A4:Q114,4,FALSE),0) + IF(ISNUMBER(VLOOKUP("9.3",A4:Q114,4,FALSE)),VLOOKUP("9.3",A4:Q114,4,FALSE),0)) / (IF(ISNUMBER(VLOOKUP("1",A4:Q114,4,FALSE)),VLOOKUP("1",A4:Q114,4,FALSE),0) - IF(ISNA(VLOOKUP("15.1.1",A4:Q114,4,FALSE)),0,VLOOKUP("15.1.1",A4:Q114,4,FALSE)))</f>
        <v>3.4221994418449274E-2</v>
      </c>
      <c r="E54" s="15">
        <f>(IF(ISNUMBER(VLOOKUP("2.1.1",A4:Q114,5,FALSE)),VLOOKUP("2.1.1",A4:Q114,5,FALSE),0) - IF(ISNUMBER(VLOOKUP("2.1.1.1",A4:Q114,5,FALSE)),VLOOKUP("2.1.1.1",A4:Q114,5,FALSE),0) + IF(ISNUMBER(VLOOKUP("2.1.3.1",A4:Q114,5,FALSE)),VLOOKUP("2.1.3.1",A4:Q114,5,FALSE),0) - IF(ISNUMBER(VLOOKUP("2.1.3.1.1",A4:Q114,5,FALSE)),VLOOKUP("2.1.3.1.1",A4:Q114,5,FALSE),0) - IF(ISNUMBER(VLOOKUP("2.1.3.1.2",A4:Q114,5,FALSE)),VLOOKUP("2.1.3.1.2",A4:Q114,5,FALSE),0) + IF(ISNUMBER(VLOOKUP("5.1",A4:Q114,5,FALSE)),VLOOKUP("5.1",A4:Q114,5,FALSE),0) - IF(ISNUMBER(VLOOKUP("5.1.1",A4:Q114,5,FALSE)),VLOOKUP("5.1.1",A4:Q114,5,FALSE),0) + IF(ISNUMBER(VLOOKUP("9.3",A4:Q114,5,FALSE)),VLOOKUP("9.3",A4:Q114,5,FALSE),0)) / (IF(ISNUMBER(VLOOKUP("1",A4:Q114,5,FALSE)),VLOOKUP("1",A4:Q114,5,FALSE),0) - IF(ISNA(VLOOKUP("15.1.1",A4:Q114,5,FALSE)),0,VLOOKUP("15.1.1",A4:Q114,5,FALSE)))</f>
        <v>4.3044687487412227E-2</v>
      </c>
      <c r="F54" s="15">
        <f>(IF(ISNUMBER(VLOOKUP("2.1.1",A4:Q114,6,FALSE)),VLOOKUP("2.1.1",A4:Q114,6,FALSE),0) - IF(ISNUMBER(VLOOKUP("2.1.1.1",A4:Q114,6,FALSE)),VLOOKUP("2.1.1.1",A4:Q114,6,FALSE),0) + IF(ISNUMBER(VLOOKUP("2.1.3.1",A4:Q114,6,FALSE)),VLOOKUP("2.1.3.1",A4:Q114,6,FALSE),0) - IF(ISNUMBER(VLOOKUP("2.1.3.1.1",A4:Q114,6,FALSE)),VLOOKUP("2.1.3.1.1",A4:Q114,6,FALSE),0) - IF(ISNUMBER(VLOOKUP("2.1.3.1.2",A4:Q114,6,FALSE)),VLOOKUP("2.1.3.1.2",A4:Q114,6,FALSE),0) + IF(ISNUMBER(VLOOKUP("5.1",A4:Q114,6,FALSE)),VLOOKUP("5.1",A4:Q114,6,FALSE),0) - IF(ISNUMBER(VLOOKUP("5.1.1",A4:Q114,6,FALSE)),VLOOKUP("5.1.1",A4:Q114,6,FALSE),0) + IF(ISNUMBER(VLOOKUP("9.3",A4:Q114,6,FALSE)),VLOOKUP("9.3",A4:Q114,6,FALSE),0)) / (IF(ISNUMBER(VLOOKUP("1",A4:Q114,6,FALSE)),VLOOKUP("1",A4:Q114,6,FALSE),0) - IF(ISNA(VLOOKUP("15.1.1",A4:Q114,6,FALSE)),0,VLOOKUP("15.1.1",A4:Q114,6,FALSE)))</f>
        <v>3.5690973533206653E-2</v>
      </c>
      <c r="G54" s="15">
        <f>(IF(ISNUMBER(VLOOKUP("2.1.1",A4:Q114,7,FALSE)),VLOOKUP("2.1.1",A4:Q114,7,FALSE),0) - IF(ISNUMBER(VLOOKUP("2.1.1.1",A4:Q114,7,FALSE)),VLOOKUP("2.1.1.1",A4:Q114,7,FALSE),0) + IF(ISNUMBER(VLOOKUP("2.1.3.1",A4:Q114,7,FALSE)),VLOOKUP("2.1.3.1",A4:Q114,7,FALSE),0) - IF(ISNUMBER(VLOOKUP("2.1.3.1.1",A4:Q114,7,FALSE)),VLOOKUP("2.1.3.1.1",A4:Q114,7,FALSE),0) - IF(ISNUMBER(VLOOKUP("2.1.3.1.2",A4:Q114,7,FALSE)),VLOOKUP("2.1.3.1.2",A4:Q114,7,FALSE),0) + IF(ISNUMBER(VLOOKUP("5.1",A4:Q114,7,FALSE)),VLOOKUP("5.1",A4:Q114,7,FALSE),0) - IF(ISNUMBER(VLOOKUP("5.1.1",A4:Q114,7,FALSE)),VLOOKUP("5.1.1",A4:Q114,7,FALSE),0) + IF(ISNUMBER(VLOOKUP("9.3",A4:Q114,7,FALSE)),VLOOKUP("9.3",A4:Q114,7,FALSE),0)) / (IF(ISNUMBER(VLOOKUP("1",A4:Q114,7,FALSE)),VLOOKUP("1",A4:Q114,7,FALSE),0) - IF(ISNA(VLOOKUP("15.1.1",A4:Q114,7,FALSE)),0,VLOOKUP("15.1.1",A4:Q114,7,FALSE)))</f>
        <v>3.8801340004214299E-2</v>
      </c>
      <c r="H54" s="15">
        <f>(IF(ISNUMBER(VLOOKUP("2.1.1",A4:Q114,8,FALSE)),VLOOKUP("2.1.1",A4:Q114,8,FALSE),0) - IF(ISNUMBER(VLOOKUP("2.1.1.1",A4:Q114,8,FALSE)),VLOOKUP("2.1.1.1",A4:Q114,8,FALSE),0) + IF(ISNUMBER(VLOOKUP("2.1.3.1",A4:Q114,8,FALSE)),VLOOKUP("2.1.3.1",A4:Q114,8,FALSE),0) - IF(ISNUMBER(VLOOKUP("2.1.3.1.1",A4:Q114,8,FALSE)),VLOOKUP("2.1.3.1.1",A4:Q114,8,FALSE),0) - IF(ISNUMBER(VLOOKUP("2.1.3.1.2",A4:Q114,8,FALSE)),VLOOKUP("2.1.3.1.2",A4:Q114,8,FALSE),0) + IF(ISNUMBER(VLOOKUP("5.1",A4:Q114,8,FALSE)),VLOOKUP("5.1",A4:Q114,8,FALSE),0) - IF(ISNUMBER(VLOOKUP("5.1.1",A4:Q114,8,FALSE)),VLOOKUP("5.1.1",A4:Q114,8,FALSE),0) + IF(ISNUMBER(VLOOKUP("9.3",A4:Q114,8,FALSE)),VLOOKUP("9.3",A4:Q114,8,FALSE),0)) / (IF(ISNUMBER(VLOOKUP("1",A4:Q114,8,FALSE)),VLOOKUP("1",A4:Q114,8,FALSE),0) - IF(ISNA(VLOOKUP("15.1.1",A4:Q114,8,FALSE)),0,VLOOKUP("15.1.1",A4:Q114,8,FALSE)))</f>
        <v>4.040814544533116E-2</v>
      </c>
      <c r="I54" s="15">
        <f>(IF(ISNUMBER(VLOOKUP("2.1.1",A4:Q114,9,FALSE)),VLOOKUP("2.1.1",A4:Q114,9,FALSE),0) - IF(ISNUMBER(VLOOKUP("2.1.1.1",A4:Q114,9,FALSE)),VLOOKUP("2.1.1.1",A4:Q114,9,FALSE),0) + IF(ISNUMBER(VLOOKUP("2.1.3.1",A4:Q114,9,FALSE)),VLOOKUP("2.1.3.1",A4:Q114,9,FALSE),0) - IF(ISNUMBER(VLOOKUP("2.1.3.1.1",A4:Q114,9,FALSE)),VLOOKUP("2.1.3.1.1",A4:Q114,9,FALSE),0) - IF(ISNUMBER(VLOOKUP("2.1.3.1.2",A4:Q114,9,FALSE)),VLOOKUP("2.1.3.1.2",A4:Q114,9,FALSE),0) + IF(ISNUMBER(VLOOKUP("5.1",A4:Q114,9,FALSE)),VLOOKUP("5.1",A4:Q114,9,FALSE),0) - IF(ISNUMBER(VLOOKUP("5.1.1",A4:Q114,9,FALSE)),VLOOKUP("5.1.1",A4:Q114,9,FALSE),0) + IF(ISNUMBER(VLOOKUP("9.3",A4:Q114,9,FALSE)),VLOOKUP("9.3",A4:Q114,9,FALSE),0)) / (IF(ISNUMBER(VLOOKUP("1",A4:Q114,9,FALSE)),VLOOKUP("1",A4:Q114,9,FALSE),0) - IF(ISNA(VLOOKUP("15.1.1",A4:Q114,9,FALSE)),0,VLOOKUP("15.1.1",A4:Q114,9,FALSE)))</f>
        <v>3.9954406834355138E-2</v>
      </c>
      <c r="J54" s="15">
        <f>(IF(ISNUMBER(VLOOKUP("2.1.1",A4:Q114,10,FALSE)),VLOOKUP("2.1.1",A4:Q114,10,FALSE),0) - IF(ISNUMBER(VLOOKUP("2.1.1.1",A4:Q114,10,FALSE)),VLOOKUP("2.1.1.1",A4:Q114,10,FALSE),0) + IF(ISNUMBER(VLOOKUP("2.1.3.1",A4:Q114,10,FALSE)),VLOOKUP("2.1.3.1",A4:Q114,10,FALSE),0) - IF(ISNUMBER(VLOOKUP("2.1.3.1.1",A4:Q114,10,FALSE)),VLOOKUP("2.1.3.1.1",A4:Q114,10,FALSE),0) - IF(ISNUMBER(VLOOKUP("2.1.3.1.2",A4:Q114,10,FALSE)),VLOOKUP("2.1.3.1.2",A4:Q114,10,FALSE),0) + IF(ISNUMBER(VLOOKUP("5.1",A4:Q114,10,FALSE)),VLOOKUP("5.1",A4:Q114,10,FALSE),0) - IF(ISNUMBER(VLOOKUP("5.1.1",A4:Q114,10,FALSE)),VLOOKUP("5.1.1",A4:Q114,10,FALSE),0) + IF(ISNUMBER(VLOOKUP("9.3",A4:Q114,10,FALSE)),VLOOKUP("9.3",A4:Q114,10,FALSE),0)) / (IF(ISNUMBER(VLOOKUP("1",A4:Q114,10,FALSE)),VLOOKUP("1",A4:Q114,10,FALSE),0) - IF(ISNA(VLOOKUP("15.1.1",A4:Q114,10,FALSE)),0,VLOOKUP("15.1.1",A4:Q114,10,FALSE)))</f>
        <v>3.254059614632366E-2</v>
      </c>
      <c r="K54" s="15">
        <f>(IF(ISNUMBER(VLOOKUP("2.1.1",A4:Q114,11,FALSE)),VLOOKUP("2.1.1",A4:Q114,11,FALSE),0) - IF(ISNUMBER(VLOOKUP("2.1.1.1",A4:Q114,11,FALSE)),VLOOKUP("2.1.1.1",A4:Q114,11,FALSE),0) + IF(ISNUMBER(VLOOKUP("2.1.3.1",A4:Q114,11,FALSE)),VLOOKUP("2.1.3.1",A4:Q114,11,FALSE),0) - IF(ISNUMBER(VLOOKUP("2.1.3.1.1",A4:Q114,11,FALSE)),VLOOKUP("2.1.3.1.1",A4:Q114,11,FALSE),0) - IF(ISNUMBER(VLOOKUP("2.1.3.1.2",A4:Q114,11,FALSE)),VLOOKUP("2.1.3.1.2",A4:Q114,11,FALSE),0) + IF(ISNUMBER(VLOOKUP("5.1",A4:Q114,11,FALSE)),VLOOKUP("5.1",A4:Q114,11,FALSE),0) - IF(ISNUMBER(VLOOKUP("5.1.1",A4:Q114,11,FALSE)),VLOOKUP("5.1.1",A4:Q114,11,FALSE),0) + IF(ISNUMBER(VLOOKUP("9.3",A4:Q114,11,FALSE)),VLOOKUP("9.3",A4:Q114,11,FALSE),0)) / (IF(ISNUMBER(VLOOKUP("1",A4:Q114,11,FALSE)),VLOOKUP("1",A4:Q114,11,FALSE),0) - IF(ISNA(VLOOKUP("15.1.1",A4:Q114,11,FALSE)),0,VLOOKUP("15.1.1",A4:Q114,11,FALSE)))</f>
        <v>3.0532111976473469E-2</v>
      </c>
      <c r="L54" s="15">
        <f>(IF(ISNUMBER(VLOOKUP("2.1.1",A4:Q114,12,FALSE)),VLOOKUP("2.1.1",A4:Q114,12,FALSE),0) - IF(ISNUMBER(VLOOKUP("2.1.1.1",A4:Q114,12,FALSE)),VLOOKUP("2.1.1.1",A4:Q114,12,FALSE),0) + IF(ISNUMBER(VLOOKUP("2.1.3.1",A4:Q114,12,FALSE)),VLOOKUP("2.1.3.1",A4:Q114,12,FALSE),0) - IF(ISNUMBER(VLOOKUP("2.1.3.1.1",A4:Q114,12,FALSE)),VLOOKUP("2.1.3.1.1",A4:Q114,12,FALSE),0) - IF(ISNUMBER(VLOOKUP("2.1.3.1.2",A4:Q114,12,FALSE)),VLOOKUP("2.1.3.1.2",A4:Q114,12,FALSE),0) + IF(ISNUMBER(VLOOKUP("5.1",A4:Q114,12,FALSE)),VLOOKUP("5.1",A4:Q114,12,FALSE),0) - IF(ISNUMBER(VLOOKUP("5.1.1",A4:Q114,12,FALSE)),VLOOKUP("5.1.1",A4:Q114,12,FALSE),0) + IF(ISNUMBER(VLOOKUP("9.3",A4:Q114,12,FALSE)),VLOOKUP("9.3",A4:Q114,12,FALSE),0)) / (IF(ISNUMBER(VLOOKUP("1",A4:Q114,12,FALSE)),VLOOKUP("1",A4:Q114,12,FALSE),0) - IF(ISNA(VLOOKUP("15.1.1",A4:Q114,12,FALSE)),0,VLOOKUP("15.1.1",A4:Q114,12,FALSE)))</f>
        <v>2.545702323786565E-2</v>
      </c>
      <c r="M54" s="15">
        <f>(IF(ISNUMBER(VLOOKUP("2.1.1",A4:Q114,13,FALSE)),VLOOKUP("2.1.1",A4:Q114,13,FALSE),0) - IF(ISNUMBER(VLOOKUP("2.1.1.1",A4:Q114,13,FALSE)),VLOOKUP("2.1.1.1",A4:Q114,13,FALSE),0) + IF(ISNUMBER(VLOOKUP("2.1.3.1",A4:Q114,13,FALSE)),VLOOKUP("2.1.3.1",A4:Q114,13,FALSE),0) - IF(ISNUMBER(VLOOKUP("2.1.3.1.1",A4:Q114,13,FALSE)),VLOOKUP("2.1.3.1.1",A4:Q114,13,FALSE),0) - IF(ISNUMBER(VLOOKUP("2.1.3.1.2",A4:Q114,13,FALSE)),VLOOKUP("2.1.3.1.2",A4:Q114,13,FALSE),0) + IF(ISNUMBER(VLOOKUP("5.1",A4:Q114,13,FALSE)),VLOOKUP("5.1",A4:Q114,13,FALSE),0) - IF(ISNUMBER(VLOOKUP("5.1.1",A4:Q114,13,FALSE)),VLOOKUP("5.1.1",A4:Q114,13,FALSE),0) + IF(ISNUMBER(VLOOKUP("9.3",A4:Q114,13,FALSE)),VLOOKUP("9.3",A4:Q114,13,FALSE),0)) / (IF(ISNUMBER(VLOOKUP("1",A4:Q114,13,FALSE)),VLOOKUP("1",A4:Q114,13,FALSE),0) - IF(ISNA(VLOOKUP("15.1.1",A4:Q114,13,FALSE)),0,VLOOKUP("15.1.1",A4:Q114,13,FALSE)))</f>
        <v>1.1444846761165875E-2</v>
      </c>
      <c r="N54" s="15">
        <f>(IF(ISNUMBER(VLOOKUP("2.1.1",A4:Q114,14,FALSE)),VLOOKUP("2.1.1",A4:Q114,14,FALSE),0) - IF(ISNUMBER(VLOOKUP("2.1.1.1",A4:Q114,14,FALSE)),VLOOKUP("2.1.1.1",A4:Q114,14,FALSE),0) + IF(ISNUMBER(VLOOKUP("2.1.3.1",A4:Q114,14,FALSE)),VLOOKUP("2.1.3.1",A4:Q114,14,FALSE),0) - IF(ISNUMBER(VLOOKUP("2.1.3.1.1",A4:Q114,14,FALSE)),VLOOKUP("2.1.3.1.1",A4:Q114,14,FALSE),0) - IF(ISNUMBER(VLOOKUP("2.1.3.1.2",A4:Q114,14,FALSE)),VLOOKUP("2.1.3.1.2",A4:Q114,14,FALSE),0) + IF(ISNUMBER(VLOOKUP("5.1",A4:Q114,14,FALSE)),VLOOKUP("5.1",A4:Q114,14,FALSE),0) - IF(ISNUMBER(VLOOKUP("5.1.1",A4:Q114,14,FALSE)),VLOOKUP("5.1.1",A4:Q114,14,FALSE),0) + IF(ISNUMBER(VLOOKUP("9.3",A4:Q114,14,FALSE)),VLOOKUP("9.3",A4:Q114,14,FALSE),0)) / (IF(ISNUMBER(VLOOKUP("1",A4:Q114,14,FALSE)),VLOOKUP("1",A4:Q114,14,FALSE),0) - IF(ISNA(VLOOKUP("15.1.1",A4:Q114,14,FALSE)),0,VLOOKUP("15.1.1",A4:Q114,14,FALSE)))</f>
        <v>8.2060531721102562E-3</v>
      </c>
      <c r="O54" s="15">
        <f>(IF(ISNUMBER(VLOOKUP("2.1.1",A4:Q114,15,FALSE)),VLOOKUP("2.1.1",A4:Q114,15,FALSE),0) - IF(ISNUMBER(VLOOKUP("2.1.1.1",A4:Q114,15,FALSE)),VLOOKUP("2.1.1.1",A4:Q114,15,FALSE),0) + IF(ISNUMBER(VLOOKUP("2.1.3.1",A4:Q114,15,FALSE)),VLOOKUP("2.1.3.1",A4:Q114,15,FALSE),0) - IF(ISNUMBER(VLOOKUP("2.1.3.1.1",A4:Q114,15,FALSE)),VLOOKUP("2.1.3.1.1",A4:Q114,15,FALSE),0) - IF(ISNUMBER(VLOOKUP("2.1.3.1.2",A4:Q114,15,FALSE)),VLOOKUP("2.1.3.1.2",A4:Q114,15,FALSE),0) + IF(ISNUMBER(VLOOKUP("5.1",A4:Q114,15,FALSE)),VLOOKUP("5.1",A4:Q114,15,FALSE),0) - IF(ISNUMBER(VLOOKUP("5.1.1",A4:Q114,15,FALSE)),VLOOKUP("5.1.1",A4:Q114,15,FALSE),0) + IF(ISNUMBER(VLOOKUP("9.3",A4:Q114,15,FALSE)),VLOOKUP("9.3",A4:Q114,15,FALSE),0)) / (IF(ISNUMBER(VLOOKUP("1",A4:Q114,15,FALSE)),VLOOKUP("1",A4:Q114,15,FALSE),0) - IF(ISNA(VLOOKUP("15.1.1",A4:Q114,15,FALSE)),0,VLOOKUP("15.1.1",A4:Q114,15,FALSE)))</f>
        <v>7.2723155108437246E-3</v>
      </c>
      <c r="P54" s="15">
        <f>(IF(ISNUMBER(VLOOKUP("2.1.1",A4:Q114,16,FALSE)),VLOOKUP("2.1.1",A4:Q114,16,FALSE),0) - IF(ISNUMBER(VLOOKUP("2.1.1.1",A4:Q114,16,FALSE)),VLOOKUP("2.1.1.1",A4:Q114,16,FALSE),0) + IF(ISNUMBER(VLOOKUP("2.1.3.1",A4:Q114,16,FALSE)),VLOOKUP("2.1.3.1",A4:Q114,16,FALSE),0) - IF(ISNUMBER(VLOOKUP("2.1.3.1.1",A4:Q114,16,FALSE)),VLOOKUP("2.1.3.1.1",A4:Q114,16,FALSE),0) - IF(ISNUMBER(VLOOKUP("2.1.3.1.2",A4:Q114,16,FALSE)),VLOOKUP("2.1.3.1.2",A4:Q114,16,FALSE),0) + IF(ISNUMBER(VLOOKUP("5.1",A4:Q114,16,FALSE)),VLOOKUP("5.1",A4:Q114,16,FALSE),0) - IF(ISNUMBER(VLOOKUP("5.1.1",A4:Q114,16,FALSE)),VLOOKUP("5.1.1",A4:Q114,16,FALSE),0) + IF(ISNUMBER(VLOOKUP("9.3",A4:Q114,16,FALSE)),VLOOKUP("9.3",A4:Q114,16,FALSE),0)) / (IF(ISNUMBER(VLOOKUP("1",A4:Q114,16,FALSE)),VLOOKUP("1",A4:Q114,16,FALSE),0) - IF(ISNA(VLOOKUP("15.1.1",A4:Q114,16,FALSE)),0,VLOOKUP("15.1.1",A4:Q114,16,FALSE)))</f>
        <v>6.595309046428216E-3</v>
      </c>
      <c r="Q54" s="15">
        <f>(IF(ISNUMBER(VLOOKUP("2.1.1",A4:Q114,17,FALSE)),VLOOKUP("2.1.1",A4:Q114,17,FALSE),0) - IF(ISNUMBER(VLOOKUP("2.1.1.1",A4:Q114,17,FALSE)),VLOOKUP("2.1.1.1",A4:Q114,17,FALSE),0) + IF(ISNUMBER(VLOOKUP("2.1.3.1",A4:Q114,17,FALSE)),VLOOKUP("2.1.3.1",A4:Q114,17,FALSE),0) - IF(ISNUMBER(VLOOKUP("2.1.3.1.1",A4:Q114,17,FALSE)),VLOOKUP("2.1.3.1.1",A4:Q114,17,FALSE),0) - IF(ISNUMBER(VLOOKUP("2.1.3.1.2",A4:Q114,17,FALSE)),VLOOKUP("2.1.3.1.2",A4:Q114,17,FALSE),0) + IF(ISNUMBER(VLOOKUP("5.1",A4:Q114,17,FALSE)),VLOOKUP("5.1",A4:Q114,17,FALSE),0) - IF(ISNUMBER(VLOOKUP("5.1.1",A4:Q114,17,FALSE)),VLOOKUP("5.1.1",A4:Q114,17,FALSE),0) + IF(ISNUMBER(VLOOKUP("9.3",A4:Q114,17,FALSE)),VLOOKUP("9.3",A4:Q114,17,FALSE),0)) / (IF(ISNUMBER(VLOOKUP("1",A4:Q114,17,FALSE)),VLOOKUP("1",A4:Q114,17,FALSE),0) - IF(ISNA(VLOOKUP("15.1.1",A4:Q114,17,FALSE)),0,VLOOKUP("15.1.1",A4:Q114,17,FALSE)))</f>
        <v>2.6658312414542637E-3</v>
      </c>
    </row>
    <row r="55" spans="1:17" s="6" customFormat="1" ht="52.9" customHeight="1" x14ac:dyDescent="0.2">
      <c r="A55" s="13" t="s">
        <v>115</v>
      </c>
      <c r="B55" s="14" t="s">
        <v>116</v>
      </c>
      <c r="C55" s="15">
        <f>((IF(ISNUMBER(VLOOKUP("1.1",A4:Q114,3,FALSE)),VLOOKUP("1.1",A4:Q114,3,FALSE),0) - IF(ISNA(VLOOKUP("15.1.1",A4:Q114,3,FALSE)),0,VLOOKUP("15.1.1",A4:Q114,3,FALSE))) - (IF(ISNUMBER(VLOOKUP("2.1",A4:Q114,3,FALSE)),VLOOKUP("2.1",A4:Q114,3,FALSE),0) - IF(ISNUMBER(VLOOKUP("2.1.2",A4:Q114,3,FALSE)),VLOOKUP("2.1.2",A4:Q114,3,FALSE),0) - IF(ISNA(VLOOKUP("15.2",A4:Q114,3,FALSE)),0,VLOOKUP("15.2",A4:Q114,3,FALSE))) + IF(ISNUMBER(VLOOKUP("1.2.1",A4:Q114,3,FALSE)),VLOOKUP("1.2.1",A4:Q114,3,FALSE),0)) / (IF(ISNUMBER(VLOOKUP("1",A4:Q114,3,FALSE)),VLOOKUP("1",A4:Q114,3,FALSE),0) - IF(ISNA(VLOOKUP("15.1.1",A4:Q114,3,FALSE)),0,VLOOKUP("15.1.1",A4:Q114,3,FALSE)))</f>
        <v>6.3103838907838328E-2</v>
      </c>
      <c r="D55" s="15">
        <f>((IF(ISNUMBER(VLOOKUP("1.1",A4:Q114,4,FALSE)),VLOOKUP("1.1",A4:Q114,4,FALSE),0) - IF(ISNA(VLOOKUP("15.1.1",A4:Q114,4,FALSE)),0,VLOOKUP("15.1.1",A4:Q114,4,FALSE))) - (IF(ISNUMBER(VLOOKUP("2.1",A4:Q114,4,FALSE)),VLOOKUP("2.1",A4:Q114,4,FALSE),0) - IF(ISNUMBER(VLOOKUP("2.1.2",A4:Q114,4,FALSE)),VLOOKUP("2.1.2",A4:Q114,4,FALSE),0) - IF(ISNA(VLOOKUP("15.2",A4:Q114,4,FALSE)),0,VLOOKUP("15.2",A4:Q114,4,FALSE))) + IF(ISNUMBER(VLOOKUP("1.2.1",A4:Q114,4,FALSE)),VLOOKUP("1.2.1",A4:Q114,4,FALSE),0)) / (IF(ISNUMBER(VLOOKUP("1",A4:Q114,4,FALSE)),VLOOKUP("1",A4:Q114,4,FALSE),0) - IF(ISNA(VLOOKUP("15.1.1",A4:Q114,4,FALSE)),0,VLOOKUP("15.1.1",A4:Q114,4,FALSE)))</f>
        <v>7.5212030641203922E-2</v>
      </c>
      <c r="E55" s="15">
        <f>((IF(ISNUMBER(VLOOKUP("1.1",A4:Q114,5,FALSE)),VLOOKUP("1.1",A4:Q114,5,FALSE),0) - IF(ISNA(VLOOKUP("15.1.1",A4:Q114,5,FALSE)),0,VLOOKUP("15.1.1",A4:Q114,5,FALSE))) - (IF(ISNUMBER(VLOOKUP("2.1",A4:Q114,5,FALSE)),VLOOKUP("2.1",A4:Q114,5,FALSE),0) - IF(ISNUMBER(VLOOKUP("2.1.2",A4:Q114,5,FALSE)),VLOOKUP("2.1.2",A4:Q114,5,FALSE),0) - IF(ISNA(VLOOKUP("15.2",A4:Q114,5,FALSE)),0,VLOOKUP("15.2",A4:Q114,5,FALSE))) + IF(ISNUMBER(VLOOKUP("1.2.1",A4:Q114,5,FALSE)),VLOOKUP("1.2.1",A4:Q114,5,FALSE),0)) / (IF(ISNUMBER(VLOOKUP("1",A4:Q114,5,FALSE)),VLOOKUP("1",A4:Q114,5,FALSE),0) - IF(ISNA(VLOOKUP("15.1.1",A4:Q114,5,FALSE)),0,VLOOKUP("15.1.1",A4:Q114,5,FALSE)))</f>
        <v>5.8103594141704434E-2</v>
      </c>
      <c r="F55" s="15">
        <f>((IF(ISNUMBER(VLOOKUP("1.1",A4:Q114,6,FALSE)),VLOOKUP("1.1",A4:Q114,6,FALSE),0) - IF(ISNA(VLOOKUP("15.1.1",A4:Q114,6,FALSE)),0,VLOOKUP("15.1.1",A4:Q114,6,FALSE))) - (IF(ISNUMBER(VLOOKUP("2.1",A4:Q114,6,FALSE)),VLOOKUP("2.1",A4:Q114,6,FALSE),0) - IF(ISNUMBER(VLOOKUP("2.1.2",A4:Q114,6,FALSE)),VLOOKUP("2.1.2",A4:Q114,6,FALSE),0) - IF(ISNA(VLOOKUP("15.2",A4:Q114,6,FALSE)),0,VLOOKUP("15.2",A4:Q114,6,FALSE))) + IF(ISNUMBER(VLOOKUP("1.2.1",A4:Q114,6,FALSE)),VLOOKUP("1.2.1",A4:Q114,6,FALSE),0)) / (IF(ISNUMBER(VLOOKUP("1",A4:Q114,6,FALSE)),VLOOKUP("1",A4:Q114,6,FALSE),0) - IF(ISNA(VLOOKUP("15.1.1",A4:Q114,6,FALSE)),0,VLOOKUP("15.1.1",A4:Q114,6,FALSE)))</f>
        <v>9.4426687209946014E-2</v>
      </c>
      <c r="G55" s="15">
        <f>((IF(ISNUMBER(VLOOKUP("1.1",A4:Q114,7,FALSE)),VLOOKUP("1.1",A4:Q114,7,FALSE),0) - IF(ISNA(VLOOKUP("15.1.1",A4:Q114,7,FALSE)),0,VLOOKUP("15.1.1",A4:Q114,7,FALSE))) - (IF(ISNUMBER(VLOOKUP("2.1",A4:Q114,7,FALSE)),VLOOKUP("2.1",A4:Q114,7,FALSE),0) - IF(ISNUMBER(VLOOKUP("2.1.2",A4:Q114,7,FALSE)),VLOOKUP("2.1.2",A4:Q114,7,FALSE),0) - IF(ISNA(VLOOKUP("15.2",A4:Q114,7,FALSE)),0,VLOOKUP("15.2",A4:Q114,7,FALSE))) + IF(ISNUMBER(VLOOKUP("1.2.1",A4:Q114,7,FALSE)),VLOOKUP("1.2.1",A4:Q114,7,FALSE),0)) / (IF(ISNUMBER(VLOOKUP("1",A4:Q114,7,FALSE)),VLOOKUP("1",A4:Q114,7,FALSE),0) - IF(ISNA(VLOOKUP("15.1.1",A4:Q114,7,FALSE)),0,VLOOKUP("15.1.1",A4:Q114,7,FALSE)))</f>
        <v>5.3482734379997503E-2</v>
      </c>
      <c r="H55" s="15">
        <f>((IF(ISNUMBER(VLOOKUP("1.1",A4:Q114,8,FALSE)),VLOOKUP("1.1",A4:Q114,8,FALSE),0) - IF(ISNA(VLOOKUP("15.1.1",A4:Q114,8,FALSE)),0,VLOOKUP("15.1.1",A4:Q114,8,FALSE))) - (IF(ISNUMBER(VLOOKUP("2.1",A4:Q114,8,FALSE)),VLOOKUP("2.1",A4:Q114,8,FALSE),0) - IF(ISNUMBER(VLOOKUP("2.1.2",A4:Q114,8,FALSE)),VLOOKUP("2.1.2",A4:Q114,8,FALSE),0) - IF(ISNA(VLOOKUP("15.2",A4:Q114,8,FALSE)),0,VLOOKUP("15.2",A4:Q114,8,FALSE))) + IF(ISNUMBER(VLOOKUP("1.2.1",A4:Q114,8,FALSE)),VLOOKUP("1.2.1",A4:Q114,8,FALSE),0)) / (IF(ISNUMBER(VLOOKUP("1",A4:Q114,8,FALSE)),VLOOKUP("1",A4:Q114,8,FALSE),0) - IF(ISNA(VLOOKUP("15.1.1",A4:Q114,8,FALSE)),0,VLOOKUP("15.1.1",A4:Q114,8,FALSE)))</f>
        <v>7.164697210992807E-2</v>
      </c>
      <c r="I55" s="15">
        <f>((IF(ISNUMBER(VLOOKUP("1.1",A4:Q114,9,FALSE)),VLOOKUP("1.1",A4:Q114,9,FALSE),0) - IF(ISNA(VLOOKUP("15.1.1",A4:Q114,9,FALSE)),0,VLOOKUP("15.1.1",A4:Q114,9,FALSE))) - (IF(ISNUMBER(VLOOKUP("2.1",A4:Q114,9,FALSE)),VLOOKUP("2.1",A4:Q114,9,FALSE),0) - IF(ISNUMBER(VLOOKUP("2.1.2",A4:Q114,9,FALSE)),VLOOKUP("2.1.2",A4:Q114,9,FALSE),0) - IF(ISNA(VLOOKUP("15.2",A4:Q114,9,FALSE)),0,VLOOKUP("15.2",A4:Q114,9,FALSE))) + IF(ISNUMBER(VLOOKUP("1.2.1",A4:Q114,9,FALSE)),VLOOKUP("1.2.1",A4:Q114,9,FALSE),0)) / (IF(ISNUMBER(VLOOKUP("1",A4:Q114,9,FALSE)),VLOOKUP("1",A4:Q114,9,FALSE),0) - IF(ISNA(VLOOKUP("15.1.1",A4:Q114,9,FALSE)),0,VLOOKUP("15.1.1",A4:Q114,9,FALSE)))</f>
        <v>8.0138908875363762E-2</v>
      </c>
      <c r="J55" s="15">
        <f>((IF(ISNUMBER(VLOOKUP("1.1",A4:Q114,10,FALSE)),VLOOKUP("1.1",A4:Q114,10,FALSE),0) - IF(ISNA(VLOOKUP("15.1.1",A4:Q114,10,FALSE)),0,VLOOKUP("15.1.1",A4:Q114,10,FALSE))) - (IF(ISNUMBER(VLOOKUP("2.1",A4:Q114,10,FALSE)),VLOOKUP("2.1",A4:Q114,10,FALSE),0) - IF(ISNUMBER(VLOOKUP("2.1.2",A4:Q114,10,FALSE)),VLOOKUP("2.1.2",A4:Q114,10,FALSE),0) - IF(ISNA(VLOOKUP("15.2",A4:Q114,10,FALSE)),0,VLOOKUP("15.2",A4:Q114,10,FALSE))) + IF(ISNUMBER(VLOOKUP("1.2.1",A4:Q114,10,FALSE)),VLOOKUP("1.2.1",A4:Q114,10,FALSE),0)) / (IF(ISNUMBER(VLOOKUP("1",A4:Q114,10,FALSE)),VLOOKUP("1",A4:Q114,10,FALSE),0) - IF(ISNA(VLOOKUP("15.1.1",A4:Q114,10,FALSE)),0,VLOOKUP("15.1.1",A4:Q114,10,FALSE)))</f>
        <v>8.9358063164060406E-2</v>
      </c>
      <c r="K55" s="15">
        <f>((IF(ISNUMBER(VLOOKUP("1.1",A4:Q114,11,FALSE)),VLOOKUP("1.1",A4:Q114,11,FALSE),0) - IF(ISNA(VLOOKUP("15.1.1",A4:Q114,11,FALSE)),0,VLOOKUP("15.1.1",A4:Q114,11,FALSE))) - (IF(ISNUMBER(VLOOKUP("2.1",A4:Q114,11,FALSE)),VLOOKUP("2.1",A4:Q114,11,FALSE),0) - IF(ISNUMBER(VLOOKUP("2.1.2",A4:Q114,11,FALSE)),VLOOKUP("2.1.2",A4:Q114,11,FALSE),0) - IF(ISNA(VLOOKUP("15.2",A4:Q114,11,FALSE)),0,VLOOKUP("15.2",A4:Q114,11,FALSE))) + IF(ISNUMBER(VLOOKUP("1.2.1",A4:Q114,11,FALSE)),VLOOKUP("1.2.1",A4:Q114,11,FALSE),0)) / (IF(ISNUMBER(VLOOKUP("1",A4:Q114,11,FALSE)),VLOOKUP("1",A4:Q114,11,FALSE),0) - IF(ISNA(VLOOKUP("15.1.1",A4:Q114,11,FALSE)),0,VLOOKUP("15.1.1",A4:Q114,11,FALSE)))</f>
        <v>9.3077607148158423E-2</v>
      </c>
      <c r="L55" s="15">
        <f>((IF(ISNUMBER(VLOOKUP("1.1",A4:Q114,12,FALSE)),VLOOKUP("1.1",A4:Q114,12,FALSE),0) - IF(ISNA(VLOOKUP("15.1.1",A4:Q114,12,FALSE)),0,VLOOKUP("15.1.1",A4:Q114,12,FALSE))) - (IF(ISNUMBER(VLOOKUP("2.1",A4:Q114,12,FALSE)),VLOOKUP("2.1",A4:Q114,12,FALSE),0) - IF(ISNUMBER(VLOOKUP("2.1.2",A4:Q114,12,FALSE)),VLOOKUP("2.1.2",A4:Q114,12,FALSE),0) - IF(ISNA(VLOOKUP("15.2",A4:Q114,12,FALSE)),0,VLOOKUP("15.2",A4:Q114,12,FALSE))) + IF(ISNUMBER(VLOOKUP("1.2.1",A4:Q114,12,FALSE)),VLOOKUP("1.2.1",A4:Q114,12,FALSE),0)) / (IF(ISNUMBER(VLOOKUP("1",A4:Q114,12,FALSE)),VLOOKUP("1",A4:Q114,12,FALSE),0) - IF(ISNA(VLOOKUP("15.1.1",A4:Q114,12,FALSE)),0,VLOOKUP("15.1.1",A4:Q114,12,FALSE)))</f>
        <v>9.6350951335561499E-2</v>
      </c>
      <c r="M55" s="15">
        <f>((IF(ISNUMBER(VLOOKUP("1.1",A4:Q114,13,FALSE)),VLOOKUP("1.1",A4:Q114,13,FALSE),0) - IF(ISNA(VLOOKUP("15.1.1",A4:Q114,13,FALSE)),0,VLOOKUP("15.1.1",A4:Q114,13,FALSE))) - (IF(ISNUMBER(VLOOKUP("2.1",A4:Q114,13,FALSE)),VLOOKUP("2.1",A4:Q114,13,FALSE),0) - IF(ISNUMBER(VLOOKUP("2.1.2",A4:Q114,13,FALSE)),VLOOKUP("2.1.2",A4:Q114,13,FALSE),0) - IF(ISNA(VLOOKUP("15.2",A4:Q114,13,FALSE)),0,VLOOKUP("15.2",A4:Q114,13,FALSE))) + IF(ISNUMBER(VLOOKUP("1.2.1",A4:Q114,13,FALSE)),VLOOKUP("1.2.1",A4:Q114,13,FALSE),0)) / (IF(ISNUMBER(VLOOKUP("1",A4:Q114,13,FALSE)),VLOOKUP("1",A4:Q114,13,FALSE),0) - IF(ISNA(VLOOKUP("15.1.1",A4:Q114,13,FALSE)),0,VLOOKUP("15.1.1",A4:Q114,13,FALSE)))</f>
        <v>9.7995584873451294E-2</v>
      </c>
      <c r="N55" s="15">
        <f>((IF(ISNUMBER(VLOOKUP("1.1",A4:Q114,14,FALSE)),VLOOKUP("1.1",A4:Q114,14,FALSE),0) - IF(ISNA(VLOOKUP("15.1.1",A4:Q114,14,FALSE)),0,VLOOKUP("15.1.1",A4:Q114,14,FALSE))) - (IF(ISNUMBER(VLOOKUP("2.1",A4:Q114,14,FALSE)),VLOOKUP("2.1",A4:Q114,14,FALSE),0) - IF(ISNUMBER(VLOOKUP("2.1.2",A4:Q114,14,FALSE)),VLOOKUP("2.1.2",A4:Q114,14,FALSE),0) - IF(ISNA(VLOOKUP("15.2",A4:Q114,14,FALSE)),0,VLOOKUP("15.2",A4:Q114,14,FALSE))) + IF(ISNUMBER(VLOOKUP("1.2.1",A4:Q114,14,FALSE)),VLOOKUP("1.2.1",A4:Q114,14,FALSE),0)) / (IF(ISNUMBER(VLOOKUP("1",A4:Q114,14,FALSE)),VLOOKUP("1",A4:Q114,14,FALSE),0) - IF(ISNA(VLOOKUP("15.1.1",A4:Q114,14,FALSE)),0,VLOOKUP("15.1.1",A4:Q114,14,FALSE)))</f>
        <v>9.8772681270497056E-2</v>
      </c>
      <c r="O55" s="15">
        <f>((IF(ISNUMBER(VLOOKUP("1.1",A4:Q114,15,FALSE)),VLOOKUP("1.1",A4:Q114,15,FALSE),0) - IF(ISNA(VLOOKUP("15.1.1",A4:Q114,15,FALSE)),0,VLOOKUP("15.1.1",A4:Q114,15,FALSE))) - (IF(ISNUMBER(VLOOKUP("2.1",A4:Q114,15,FALSE)),VLOOKUP("2.1",A4:Q114,15,FALSE),0) - IF(ISNUMBER(VLOOKUP("2.1.2",A4:Q114,15,FALSE)),VLOOKUP("2.1.2",A4:Q114,15,FALSE),0) - IF(ISNA(VLOOKUP("15.2",A4:Q114,15,FALSE)),0,VLOOKUP("15.2",A4:Q114,15,FALSE))) + IF(ISNUMBER(VLOOKUP("1.2.1",A4:Q114,15,FALSE)),VLOOKUP("1.2.1",A4:Q114,15,FALSE),0)) / (IF(ISNUMBER(VLOOKUP("1",A4:Q114,15,FALSE)),VLOOKUP("1",A4:Q114,15,FALSE),0) - IF(ISNA(VLOOKUP("15.1.1",A4:Q114,15,FALSE)),0,VLOOKUP("15.1.1",A4:Q114,15,FALSE)))</f>
        <v>9.9007637745955765E-2</v>
      </c>
      <c r="P55" s="15">
        <f>((IF(ISNUMBER(VLOOKUP("1.1",A4:Q114,16,FALSE)),VLOOKUP("1.1",A4:Q114,16,FALSE),0) - IF(ISNA(VLOOKUP("15.1.1",A4:Q114,16,FALSE)),0,VLOOKUP("15.1.1",A4:Q114,16,FALSE))) - (IF(ISNUMBER(VLOOKUP("2.1",A4:Q114,16,FALSE)),VLOOKUP("2.1",A4:Q114,16,FALSE),0) - IF(ISNUMBER(VLOOKUP("2.1.2",A4:Q114,16,FALSE)),VLOOKUP("2.1.2",A4:Q114,16,FALSE),0) - IF(ISNA(VLOOKUP("15.2",A4:Q114,16,FALSE)),0,VLOOKUP("15.2",A4:Q114,16,FALSE))) + IF(ISNUMBER(VLOOKUP("1.2.1",A4:Q114,16,FALSE)),VLOOKUP("1.2.1",A4:Q114,16,FALSE),0)) / (IF(ISNUMBER(VLOOKUP("1",A4:Q114,16,FALSE)),VLOOKUP("1",A4:Q114,16,FALSE),0) - IF(ISNA(VLOOKUP("15.1.1",A4:Q114,16,FALSE)),0,VLOOKUP("15.1.1",A4:Q114,16,FALSE)))</f>
        <v>9.8715953295463454E-2</v>
      </c>
      <c r="Q55" s="15">
        <f>((IF(ISNUMBER(VLOOKUP("1.1",A4:Q114,17,FALSE)),VLOOKUP("1.1",A4:Q114,17,FALSE),0) - IF(ISNA(VLOOKUP("15.1.1",A4:Q114,17,FALSE)),0,VLOOKUP("15.1.1",A4:Q114,17,FALSE))) - (IF(ISNUMBER(VLOOKUP("2.1",A4:Q114,17,FALSE)),VLOOKUP("2.1",A4:Q114,17,FALSE),0) - IF(ISNUMBER(VLOOKUP("2.1.2",A4:Q114,17,FALSE)),VLOOKUP("2.1.2",A4:Q114,17,FALSE),0) - IF(ISNA(VLOOKUP("15.2",A4:Q114,17,FALSE)),0,VLOOKUP("15.2",A4:Q114,17,FALSE))) + IF(ISNUMBER(VLOOKUP("1.2.1",A4:Q114,17,FALSE)),VLOOKUP("1.2.1",A4:Q114,17,FALSE),0)) / (IF(ISNUMBER(VLOOKUP("1",A4:Q114,17,FALSE)),VLOOKUP("1",A4:Q114,17,FALSE),0) - IF(ISNA(VLOOKUP("15.1.1",A4:Q114,17,FALSE)),0,VLOOKUP("15.1.1",A4:Q114,17,FALSE)))</f>
        <v>9.8688440345694198E-2</v>
      </c>
    </row>
    <row r="56" spans="1:17" s="6" customFormat="1" ht="80.25" customHeight="1" x14ac:dyDescent="0.2">
      <c r="A56" s="16" t="s">
        <v>117</v>
      </c>
      <c r="B56" s="17" t="s">
        <v>118</v>
      </c>
      <c r="C56" s="18">
        <f t="shared" ref="C56:F57" si="0" xml:space="preserve"> 0.15</f>
        <v>0.15</v>
      </c>
      <c r="D56" s="18">
        <f t="shared" si="0"/>
        <v>0.15</v>
      </c>
      <c r="E56" s="18">
        <f t="shared" si="0"/>
        <v>0.15</v>
      </c>
      <c r="F56" s="18">
        <f t="shared" si="0"/>
        <v>0.15</v>
      </c>
      <c r="G56" s="18">
        <f>(IF(ISNUMBER(VLOOKUP("9.5",A4:Q114,3,FALSE)),VLOOKUP("9.5",A4:Q114,3,FALSE),0) + IF(ISNUMBER(VLOOKUP("9.5",A4:Q114,4,FALSE)),VLOOKUP("9.5",A4:Q114,4,FALSE),0) + IF(ISNUMBER(VLOOKUP("9.5",A4:Q114,5,FALSE)),VLOOKUP("9.5",A4:Q114,5,FALSE),0)) / 3</f>
        <v>6.5473154563582228E-2</v>
      </c>
      <c r="H56" s="18">
        <f xml:space="preserve"> (IF(ISNUMBER(VLOOKUP("9.5",A4:Q114,4,FALSE)),VLOOKUP("9.5",A4:Q114,4,FALSE),0) + IF(ISNUMBER(VLOOKUP("9.5",A4:Q114,5,FALSE)),VLOOKUP("9.5",A4:Q114,5,FALSE),0) + IF(ISNUMBER(VLOOKUP("9.5",A4:Q114,7,FALSE)),VLOOKUP("9.5",A4:Q114,7,FALSE),0)) / 3</f>
        <v>6.2266119720968627E-2</v>
      </c>
      <c r="I56" s="18">
        <f xml:space="preserve"> (IF(ISNUMBER(VLOOKUP("9.5",A4:Q114,5,FALSE)),VLOOKUP("9.5",A4:Q114,5,FALSE),0) + IF(ISNUMBER(VLOOKUP("9.5",A4:Q114,7,FALSE)),VLOOKUP("9.5",A4:Q114,7,FALSE),0) + IF(ISNUMBER(VLOOKUP("9.5",A4:Q114,8,FALSE)),VLOOKUP("9.5",A4:Q114,8,FALSE),0)) / 3</f>
        <v>6.1077766877210005E-2</v>
      </c>
      <c r="J56" s="18">
        <f>(IF(ISNUMBER(VLOOKUP("9.5",A4:Q114,7,FALSE)),VLOOKUP("9.5",A4:Q114,7,FALSE),0) + IF(ISNUMBER(VLOOKUP("9.5",A4:Q114,8,FALSE)),VLOOKUP("9.5",A4:Q114,8,FALSE),0) + IF(ISNUMBER(VLOOKUP("9.5",A4:Q114,9,FALSE)),VLOOKUP("9.5",A4:Q114,9,FALSE),0)) / 3</f>
        <v>6.8422871788429776E-2</v>
      </c>
      <c r="K56" s="18">
        <f>(IF(ISNUMBER(VLOOKUP("9.5",A4:Q114,8,FALSE)),VLOOKUP("9.5",A4:Q114,8,FALSE),0) + IF(ISNUMBER(VLOOKUP("9.5",A4:Q114,9,FALSE)),VLOOKUP("9.5",A4:Q114,9,FALSE),0) + IF(ISNUMBER(VLOOKUP("9.5",A4:Q114,10,FALSE)),VLOOKUP("9.5",A4:Q114,10,FALSE),0)) / 3</f>
        <v>8.0381314716450755E-2</v>
      </c>
      <c r="L56" s="18">
        <f>(IF(ISNUMBER(VLOOKUP("9.5",A4:Q114,9,FALSE)),VLOOKUP("9.5",A4:Q114,9,FALSE),0) + IF(ISNUMBER(VLOOKUP("9.5",A4:Q114,10,FALSE)),VLOOKUP("9.5",A4:Q114,10,FALSE),0) + IF(ISNUMBER(VLOOKUP("9.5",A4:Q114,11,FALSE)),VLOOKUP("9.5",A4:Q114,11,FALSE),0)) / 3</f>
        <v>8.7524859729194202E-2</v>
      </c>
      <c r="M56" s="18">
        <f>(IF(ISNUMBER(VLOOKUP("9.5",A4:Q114,10,FALSE)),VLOOKUP("9.5",A4:Q114,10,FALSE),0) + IF(ISNUMBER(VLOOKUP("9.5",A4:Q114,11,FALSE)),VLOOKUP("9.5",A4:Q114,11,FALSE),0) + IF(ISNUMBER(VLOOKUP("9.5",A4:Q114,12,FALSE)),VLOOKUP("9.5",A4:Q114,12,FALSE),0)) / 3</f>
        <v>9.2928873882593452E-2</v>
      </c>
      <c r="N56" s="18">
        <f>(IF(ISNUMBER(VLOOKUP("9.5",A4:Q114,11,FALSE)),VLOOKUP("9.5",A4:Q114,11,FALSE),0) + IF(ISNUMBER(VLOOKUP("9.5",A4:Q114,12,FALSE)),VLOOKUP("9.5",A4:Q114,12,FALSE),0) + IF(ISNUMBER(VLOOKUP("9.5",A4:Q114,13,FALSE)),VLOOKUP("9.5",A4:Q114,13,FALSE),0)) / 3</f>
        <v>9.5808047785723729E-2</v>
      </c>
      <c r="O56" s="18">
        <f>(IF(ISNUMBER(VLOOKUP("9.5",A4:Q114,12,FALSE)),VLOOKUP("9.5",A4:Q114,12,FALSE),0) + IF(ISNUMBER(VLOOKUP("9.5",A4:Q114,13,FALSE)),VLOOKUP("9.5",A4:Q114,13,FALSE),0) + IF(ISNUMBER(VLOOKUP("9.5",A4:Q114,14,FALSE)),VLOOKUP("9.5",A4:Q114,14,FALSE),0)) / 3</f>
        <v>9.7706405826503293E-2</v>
      </c>
      <c r="P56" s="18">
        <f>(IF(ISNUMBER(VLOOKUP("9.5",A4:Q114,13,FALSE)),VLOOKUP("9.5",A4:Q114,13,FALSE),0) + IF(ISNUMBER(VLOOKUP("9.5",A4:Q114,14,FALSE)),VLOOKUP("9.5",A4:Q114,14,FALSE),0) + IF(ISNUMBER(VLOOKUP("9.5",A4:Q114,15,FALSE)),VLOOKUP("9.5",A4:Q114,15,FALSE),0)) / 3</f>
        <v>9.8591967963301372E-2</v>
      </c>
      <c r="Q56" s="18">
        <f>(IF(ISNUMBER(VLOOKUP("9.5",A4:Q114,14,FALSE)),VLOOKUP("9.5",A4:Q114,14,FALSE),0) + IF(ISNUMBER(VLOOKUP("9.5",A4:Q114,15,FALSE)),VLOOKUP("9.5",A4:Q114,15,FALSE),0) + IF(ISNUMBER(VLOOKUP("9.5",A4:Q114,16,FALSE)),VLOOKUP("9.5",A4:Q114,16,FALSE),0)) / 3</f>
        <v>9.8832090770638759E-2</v>
      </c>
    </row>
    <row r="57" spans="1:17" s="6" customFormat="1" ht="76.5" customHeight="1" x14ac:dyDescent="0.2">
      <c r="A57" s="13" t="s">
        <v>119</v>
      </c>
      <c r="B57" s="14" t="s">
        <v>120</v>
      </c>
      <c r="C57" s="15">
        <f t="shared" si="0"/>
        <v>0.15</v>
      </c>
      <c r="D57" s="15">
        <f t="shared" si="0"/>
        <v>0.15</v>
      </c>
      <c r="E57" s="15">
        <f t="shared" si="0"/>
        <v>0.15</v>
      </c>
      <c r="F57" s="15">
        <f t="shared" si="0"/>
        <v>0.15</v>
      </c>
      <c r="G57" s="15">
        <f>(IF(ISNUMBER(VLOOKUP("9.5",A4:Q114,3,FALSE)),VLOOKUP("9.5",A4:Q114,3,FALSE),0) + IF(ISNUMBER(VLOOKUP("9.5",A4:Q114,4,FALSE)),VLOOKUP("9.5",A4:Q114,4,FALSE),0) + IF(ISNUMBER(VLOOKUP("9.5",A4:Q114,6,FALSE)),VLOOKUP("9.5",A4:Q114,6,FALSE),0)) / 3</f>
        <v>7.7580852252996088E-2</v>
      </c>
      <c r="H57" s="15">
        <f>(IF(ISNUMBER(VLOOKUP("9.5",A4:Q114,4,FALSE)),VLOOKUP("9.5",A4:Q114,4,FALSE),0) + IF(ISNUMBER(VLOOKUP("9.5",A4:Q114,6,FALSE)),VLOOKUP("9.5",A4:Q114,6,FALSE),0) + IF(ISNUMBER(VLOOKUP("9.5",A4:Q114,7,FALSE)),VLOOKUP("9.5",A4:Q114,7,FALSE),0)) / 3</f>
        <v>7.4373817410382473E-2</v>
      </c>
      <c r="I57" s="15">
        <f>(IF(ISNUMBER(VLOOKUP("9.5",A4:Q114,6,FALSE)),VLOOKUP("9.5",A4:Q114,6,FALSE),0) + IF(ISNUMBER(VLOOKUP("9.5",A4:Q114,7,FALSE)),VLOOKUP("9.5",A4:Q114,7,FALSE),0) + IF(ISNUMBER(VLOOKUP("9.5",A4:Q114,8,FALSE)),VLOOKUP("9.5",A4:Q114,8,FALSE),0)) / 3</f>
        <v>7.3185464566623865E-2</v>
      </c>
      <c r="J57" s="15">
        <f>(IF(ISNUMBER(VLOOKUP("9.5",A4:Q114,7,FALSE)),VLOOKUP("9.5",A4:Q114,7,FALSE),0) + IF(ISNUMBER(VLOOKUP("9.5",A4:Q114,8,FALSE)),VLOOKUP("9.5",A4:Q114,8,FALSE),0) + IF(ISNUMBER(VLOOKUP("9.5",A4:Q114,9,FALSE)),VLOOKUP("9.5",A4:Q114,9,FALSE),0)) / 3</f>
        <v>6.8422871788429776E-2</v>
      </c>
      <c r="K57" s="15">
        <f>(IF(ISNUMBER(VLOOKUP("9.5",A4:Q114,8,FALSE)),VLOOKUP("9.5",A4:Q114,8,FALSE),0) + IF(ISNUMBER(VLOOKUP("9.5",A4:Q114,9,FALSE)),VLOOKUP("9.5",A4:Q114,9,FALSE),0) + IF(ISNUMBER(VLOOKUP("9.5",A4:Q114,10,FALSE)),VLOOKUP("9.5",A4:Q114,10,FALSE),0)) / 3</f>
        <v>8.0381314716450755E-2</v>
      </c>
      <c r="L57" s="15">
        <f>(IF(ISNUMBER(VLOOKUP("9.5",A4:Q114,9,FALSE)),VLOOKUP("9.5",A4:Q114,9,FALSE),0) + IF(ISNUMBER(VLOOKUP("9.5",A4:Q114,10,FALSE)),VLOOKUP("9.5",A4:Q114,10,FALSE),0) + IF(ISNUMBER(VLOOKUP("9.5",A4:Q114,11,FALSE)),VLOOKUP("9.5",A4:Q114,11,FALSE),0)) / 3</f>
        <v>8.7524859729194202E-2</v>
      </c>
      <c r="M57" s="15">
        <f>(IF(ISNUMBER(VLOOKUP("9.5",A4:Q114,10,FALSE)),VLOOKUP("9.5",A4:Q114,10,FALSE),0) + IF(ISNUMBER(VLOOKUP("9.5",A4:Q114,11,FALSE)),VLOOKUP("9.5",A4:Q114,11,FALSE),0) + IF(ISNUMBER(VLOOKUP("9.5",A4:Q114,12,FALSE)),VLOOKUP("9.5",A4:Q114,12,FALSE),0)) / 3</f>
        <v>9.2928873882593452E-2</v>
      </c>
      <c r="N57" s="15">
        <f>(IF(ISNUMBER(VLOOKUP("9.5",A4:Q114,11,FALSE)),VLOOKUP("9.5",A4:Q114,11,FALSE),0) + IF(ISNUMBER(VLOOKUP("9.5",A4:Q114,12,FALSE)),VLOOKUP("9.5",A4:Q114,12,FALSE),0) + IF(ISNUMBER(VLOOKUP("9.5",A4:Q114,13,FALSE)),VLOOKUP("9.5",A4:Q114,13,FALSE),0)) / 3</f>
        <v>9.5808047785723729E-2</v>
      </c>
      <c r="O57" s="15">
        <f>(IF(ISNUMBER(VLOOKUP("9.5",A4:Q114,12,FALSE)),VLOOKUP("9.5",A4:Q114,12,FALSE),0) + IF(ISNUMBER(VLOOKUP("9.5",A4:Q114,13,FALSE)),VLOOKUP("9.5",A4:Q114,13,FALSE),0) + IF(ISNUMBER(VLOOKUP("9.5",A4:Q114,14,FALSE)),VLOOKUP("9.5",A4:Q114,14,FALSE),0)) / 3</f>
        <v>9.7706405826503293E-2</v>
      </c>
      <c r="P57" s="15">
        <f>(IF(ISNUMBER(VLOOKUP("9.5",A4:Q114,13,FALSE)),VLOOKUP("9.5",A4:Q114,13,FALSE),0) + IF(ISNUMBER(VLOOKUP("9.5",A4:Q114,14,FALSE)),VLOOKUP("9.5",A4:Q114,14,FALSE),0) + IF(ISNUMBER(VLOOKUP("9.5",A4:Q114,15,FALSE)),VLOOKUP("9.5",A4:Q114,15,FALSE),0)) / 3</f>
        <v>9.8591967963301372E-2</v>
      </c>
      <c r="Q57" s="15">
        <f>(IF(ISNUMBER(VLOOKUP("9.5",A4:Q114,14,FALSE)),VLOOKUP("9.5",A4:Q114,14,FALSE),0) + IF(ISNUMBER(VLOOKUP("9.5",A4:Q114,15,FALSE)),VLOOKUP("9.5",A4:Q114,15,FALSE),0) + IF(ISNUMBER(VLOOKUP("9.5",A4:Q114,16,FALSE)),VLOOKUP("9.5",A4:Q114,16,FALSE),0)) / 3</f>
        <v>9.8832090770638759E-2</v>
      </c>
    </row>
    <row r="58" spans="1:17" s="6" customFormat="1" ht="78.599999999999994" customHeight="1" x14ac:dyDescent="0.2">
      <c r="A58" s="7" t="s">
        <v>121</v>
      </c>
      <c r="B58" s="8" t="s">
        <v>122</v>
      </c>
      <c r="C58" s="19" t="str">
        <f>IF(IF(ISNUMBER(VLOOKUP("9.4",A4:Q114,3,FALSE)),VLOOKUP("9.4",A4:Q114,3,FALSE),0) - IF(ISNUMBER(VLOOKUP("9.6",A4:Q114,3,FALSE)),VLOOKUP("9.6",A4:Q114,3,FALSE),0) &lt;= 0, "Tak", "Nie")</f>
        <v>Tak</v>
      </c>
      <c r="D58" s="19" t="str">
        <f>IF(IF(ISNUMBER(VLOOKUP("9.4",A4:Q114,4,FALSE)),VLOOKUP("9.4",A4:Q114,4,FALSE),0) - IF(ISNUMBER(VLOOKUP("9.6",A4:Q114,4,FALSE)),VLOOKUP("9.6",A4:Q114,4,FALSE),0) &lt;= 0, "Tak", "Nie")</f>
        <v>Tak</v>
      </c>
      <c r="E58" s="19" t="str">
        <f>IF(IF(ISNUMBER(VLOOKUP("9.4",A4:Q114,5,FALSE)),VLOOKUP("9.4",A4:Q114,5,FALSE),0) - IF(ISNUMBER(VLOOKUP("9.6",A4:Q114,5,FALSE)),VLOOKUP("9.6",A4:Q114,5,FALSE),0) &lt;= 0, "Tak", "Nie")</f>
        <v>Tak</v>
      </c>
      <c r="F58" s="19" t="str">
        <f>IF(IF(ISNUMBER(VLOOKUP("9.4",A4:Q114,6,FALSE)),VLOOKUP("9.4",A4:Q114,6,FALSE),0) - IF(ISNUMBER(VLOOKUP("9.6",A4:Q114,6,FALSE)),VLOOKUP("9.6",A4:Q114,6,FALSE),0) &lt;= 0, "Tak", "Nie")</f>
        <v>Tak</v>
      </c>
      <c r="G58" s="21" t="str">
        <f>IF(IF(ISNUMBER(VLOOKUP("9.4",A4:Q114,7,FALSE)),VLOOKUP("9.4",A4:Q114,7,FALSE),0) - IF(ISNUMBER(VLOOKUP("9.6",A4:Q114,7,FALSE)),VLOOKUP("9.6",A4:Q114,7,FALSE),0) &lt;= 0, "Tak", "Nie")</f>
        <v>Tak</v>
      </c>
      <c r="H58" s="21" t="str">
        <f>IF(IF(ISNUMBER(VLOOKUP("9.4",A4:Q114,8,FALSE)),VLOOKUP("9.4",A4:Q114,8,FALSE),0) - IF(ISNUMBER(VLOOKUP("9.6",A4:Q114,8,FALSE)),VLOOKUP("9.6",A4:Q114,8,FALSE),0) &lt;= 0, "Tak", "Nie")</f>
        <v>Tak</v>
      </c>
      <c r="I58" s="21" t="str">
        <f>IF(IF(ISNUMBER(VLOOKUP("9.4",A4:Q114,9,FALSE)),VLOOKUP("9.4",A4:Q114,9,FALSE),0) - IF(ISNUMBER(VLOOKUP("9.6",A4:Q114,9,FALSE)),VLOOKUP("9.6",A4:Q114,9,FALSE),0) &lt;= 0, "Tak", "Nie")</f>
        <v>Tak</v>
      </c>
      <c r="J58" s="21" t="str">
        <f>IF(IF(ISNUMBER(VLOOKUP("9.4",A4:Q114,10,FALSE)),VLOOKUP("9.4",A4:Q114,10,FALSE),0) - IF(ISNUMBER(VLOOKUP("9.6",A4:Q114,10,FALSE)),VLOOKUP("9.6",A4:Q114,10,FALSE),0) &lt;= 0, "Tak", "Nie")</f>
        <v>Tak</v>
      </c>
      <c r="K58" s="21" t="str">
        <f>IF(IF(ISNUMBER(VLOOKUP("9.4",A4:Q114,11,FALSE)),VLOOKUP("9.4",A4:Q114,11,FALSE),0) - IF(ISNUMBER(VLOOKUP("9.6",A4:Q114,11,FALSE)),VLOOKUP("9.6",A4:Q114,11,FALSE),0) &lt;= 0, "Tak", "Nie")</f>
        <v>Tak</v>
      </c>
      <c r="L58" s="21" t="str">
        <f>IF(IF(ISNUMBER(VLOOKUP("9.4",A4:Q114,12,FALSE)),VLOOKUP("9.4",A4:Q114,12,FALSE),0) - IF(ISNUMBER(VLOOKUP("9.6",A4:Q114,12,FALSE)),VLOOKUP("9.6",A4:Q114,12,FALSE),0) &lt;= 0, "Tak", "Nie")</f>
        <v>Tak</v>
      </c>
      <c r="M58" s="21" t="str">
        <f>IF(IF(ISNUMBER(VLOOKUP("9.4",A4:Q114,13,FALSE)),VLOOKUP("9.4",A4:Q114,13,FALSE),0) - IF(ISNUMBER(VLOOKUP("9.6",A4:Q114,13,FALSE)),VLOOKUP("9.6",A4:Q114,13,FALSE),0) &lt;= 0, "Tak", "Nie")</f>
        <v>Tak</v>
      </c>
      <c r="N58" s="21" t="str">
        <f>IF(IF(ISNUMBER(VLOOKUP("9.4",A4:Q114,14,FALSE)),VLOOKUP("9.4",A4:Q114,14,FALSE),0) - IF(ISNUMBER(VLOOKUP("9.6",A4:Q114,14,FALSE)),VLOOKUP("9.6",A4:Q114,14,FALSE),0) &lt;= 0, "Tak", "Nie")</f>
        <v>Tak</v>
      </c>
      <c r="O58" s="21" t="str">
        <f>IF(IF(ISNUMBER(VLOOKUP("9.4",A4:Q114,15,FALSE)),VLOOKUP("9.4",A4:Q114,15,FALSE),0) - IF(ISNUMBER(VLOOKUP("9.6",A4:Q114,15,FALSE)),VLOOKUP("9.6",A4:Q114,15,FALSE),0) &lt;= 0, "Tak", "Nie")</f>
        <v>Tak</v>
      </c>
      <c r="P58" s="21" t="str">
        <f>IF(IF(ISNUMBER(VLOOKUP("9.4",A4:Q114,16,FALSE)),VLOOKUP("9.4",A4:Q114,16,FALSE),0) - IF(ISNUMBER(VLOOKUP("9.6",A4:Q114,16,FALSE)),VLOOKUP("9.6",A4:Q114,16,FALSE),0) &lt;= 0, "Tak", "Nie")</f>
        <v>Tak</v>
      </c>
      <c r="Q58" s="21" t="str">
        <f>IF(IF(ISNUMBER(VLOOKUP("9.4",A4:Q114,17,FALSE)),VLOOKUP("9.4",A4:Q114,17,FALSE),0) - IF(ISNUMBER(VLOOKUP("9.6",A4:Q114,17,FALSE)),VLOOKUP("9.6",A4:Q114,17,FALSE),0) &lt;= 0, "Tak", "Nie")</f>
        <v>Tak</v>
      </c>
    </row>
    <row r="59" spans="1:17" s="6" customFormat="1" ht="78.599999999999994" customHeight="1" x14ac:dyDescent="0.2">
      <c r="A59" s="10" t="s">
        <v>123</v>
      </c>
      <c r="B59" s="11" t="s">
        <v>124</v>
      </c>
      <c r="C59" s="20" t="str">
        <f>IF(IF(ISNUMBER(VLOOKUP("9.4",A4:Q114,3,FALSE)),VLOOKUP("9.4",A4:Q114,3,FALSE),0) - IF(ISNUMBER(VLOOKUP("9.6.1",A4:Q114,3,FALSE)),VLOOKUP("9.6.1",A4:Q114,3,FALSE),0) &lt;= 0, "Tak", "Nie")</f>
        <v>Tak</v>
      </c>
      <c r="D59" s="20" t="str">
        <f>IF(IF(ISNUMBER(VLOOKUP("9.4",A4:Q114,4,FALSE)),VLOOKUP("9.4",A4:Q114,4,FALSE),0) - IF(ISNUMBER(VLOOKUP("9.6.1",A4:Q114,4,FALSE)),VLOOKUP("9.6.1",A4:Q114,4,FALSE),0) &lt;= 0, "Tak", "Nie")</f>
        <v>Tak</v>
      </c>
      <c r="E59" s="20" t="str">
        <f>IF(IF(ISNUMBER(VLOOKUP("9.4",A4:Q114,5,FALSE)),VLOOKUP("9.4",A4:Q114,5,FALSE),0) - IF(ISNUMBER(VLOOKUP("9.6.1",A4:Q114,5,FALSE)),VLOOKUP("9.6.1",A4:Q114,5,FALSE),0) &lt;= 0, "Tak", "Nie")</f>
        <v>Tak</v>
      </c>
      <c r="F59" s="20" t="str">
        <f>IF(IF(ISNUMBER(VLOOKUP("9.4",A4:Q114,6,FALSE)),VLOOKUP("9.4",A4:Q114,6,FALSE),0) - IF(ISNUMBER(VLOOKUP("9.6.1",A4:Q114,6,FALSE)),VLOOKUP("9.6.1",A4:Q114,6,FALSE),0) &lt;= 0, "Tak", "Nie")</f>
        <v>Tak</v>
      </c>
      <c r="G59" s="21" t="str">
        <f>IF(IF(ISNUMBER(VLOOKUP("9.4",A4:Q114,7,FALSE)),VLOOKUP("9.4",A4:Q114,7,FALSE),0) - IF(ISNUMBER(VLOOKUP("9.6.1",A4:Q114,7,FALSE)),VLOOKUP("9.6.1",A4:Q114,7,FALSE),0) &lt;= 0, "Tak", "Nie")</f>
        <v>Tak</v>
      </c>
      <c r="H59" s="21" t="str">
        <f>IF(IF(ISNUMBER(VLOOKUP("9.4",A4:Q114,8,FALSE)),VLOOKUP("9.4",A4:Q114,8,FALSE),0) - IF(ISNUMBER(VLOOKUP("9.6.1",A4:Q114,8,FALSE)),VLOOKUP("9.6.1",A4:Q114,8,FALSE),0) &lt;= 0, "Tak", "Nie")</f>
        <v>Tak</v>
      </c>
      <c r="I59" s="21" t="str">
        <f>IF(IF(ISNUMBER(VLOOKUP("9.4",A4:Q114,9,FALSE)),VLOOKUP("9.4",A4:Q114,9,FALSE),0) - IF(ISNUMBER(VLOOKUP("9.6.1",A4:Q114,9,FALSE)),VLOOKUP("9.6.1",A4:Q114,9,FALSE),0) &lt;= 0, "Tak", "Nie")</f>
        <v>Tak</v>
      </c>
      <c r="J59" s="21" t="str">
        <f>IF(IF(ISNUMBER(VLOOKUP("9.4",A4:Q114,10,FALSE)),VLOOKUP("9.4",A4:Q114,10,FALSE),0) - IF(ISNUMBER(VLOOKUP("9.6.1",A4:Q114,10,FALSE)),VLOOKUP("9.6.1",A4:Q114,10,FALSE),0) &lt;= 0, "Tak", "Nie")</f>
        <v>Tak</v>
      </c>
      <c r="K59" s="21" t="str">
        <f>IF(IF(ISNUMBER(VLOOKUP("9.4",A4:Q114,11,FALSE)),VLOOKUP("9.4",A4:Q114,11,FALSE),0) - IF(ISNUMBER(VLOOKUP("9.6.1",A4:Q114,11,FALSE)),VLOOKUP("9.6.1",A4:Q114,11,FALSE),0) &lt;= 0, "Tak", "Nie")</f>
        <v>Tak</v>
      </c>
      <c r="L59" s="21" t="str">
        <f>IF(IF(ISNUMBER(VLOOKUP("9.4",A4:Q114,12,FALSE)),VLOOKUP("9.4",A4:Q114,12,FALSE),0) - IF(ISNUMBER(VLOOKUP("9.6.1",A4:Q114,12,FALSE)),VLOOKUP("9.6.1",A4:Q114,12,FALSE),0) &lt;= 0, "Tak", "Nie")</f>
        <v>Tak</v>
      </c>
      <c r="M59" s="21" t="str">
        <f>IF(IF(ISNUMBER(VLOOKUP("9.4",A4:Q114,13,FALSE)),VLOOKUP("9.4",A4:Q114,13,FALSE),0) - IF(ISNUMBER(VLOOKUP("9.6.1",A4:Q114,13,FALSE)),VLOOKUP("9.6.1",A4:Q114,13,FALSE),0) &lt;= 0, "Tak", "Nie")</f>
        <v>Tak</v>
      </c>
      <c r="N59" s="21" t="str">
        <f>IF(IF(ISNUMBER(VLOOKUP("9.4",A4:Q114,14,FALSE)),VLOOKUP("9.4",A4:Q114,14,FALSE),0) - IF(ISNUMBER(VLOOKUP("9.6.1",A4:Q114,14,FALSE)),VLOOKUP("9.6.1",A4:Q114,14,FALSE),0) &lt;= 0, "Tak", "Nie")</f>
        <v>Tak</v>
      </c>
      <c r="O59" s="21" t="str">
        <f>IF(IF(ISNUMBER(VLOOKUP("9.4",A4:Q114,15,FALSE)),VLOOKUP("9.4",A4:Q114,15,FALSE),0) - IF(ISNUMBER(VLOOKUP("9.6.1",A4:Q114,15,FALSE)),VLOOKUP("9.6.1",A4:Q114,15,FALSE),0) &lt;= 0, "Tak", "Nie")</f>
        <v>Tak</v>
      </c>
      <c r="P59" s="21" t="str">
        <f>IF(IF(ISNUMBER(VLOOKUP("9.4",A4:Q114,16,FALSE)),VLOOKUP("9.4",A4:Q114,16,FALSE),0) - IF(ISNUMBER(VLOOKUP("9.6.1",A4:Q114,16,FALSE)),VLOOKUP("9.6.1",A4:Q114,16,FALSE),0) &lt;= 0, "Tak", "Nie")</f>
        <v>Tak</v>
      </c>
      <c r="Q59" s="21" t="str">
        <f>IF(IF(ISNUMBER(VLOOKUP("9.4",A4:Q114,17,FALSE)),VLOOKUP("9.4",A4:Q114,17,FALSE),0) - IF(ISNUMBER(VLOOKUP("9.6.1",A4:Q114,17,FALSE)),VLOOKUP("9.6.1",A4:Q114,17,FALSE),0) &lt;= 0, "Tak", "Nie")</f>
        <v>Tak</v>
      </c>
    </row>
    <row r="60" spans="1:17" s="6" customFormat="1" ht="27" customHeight="1" x14ac:dyDescent="0.2">
      <c r="A60" s="7" t="s">
        <v>125</v>
      </c>
      <c r="B60" s="8" t="s">
        <v>126</v>
      </c>
      <c r="C60" s="9">
        <f>IF(IF(ISNUMBER(VLOOKUP("3",A4:Q114,3,FALSE)),VLOOKUP("3",A4:Q114,3,FALSE),0)&gt;0,IF(ISNUMBER(VLOOKUP("3",A4:Q114,3,FALSE)),VLOOKUP("3",A4:Q114,3,FALSE),0),0)</f>
        <v>3067704.4500000179</v>
      </c>
      <c r="D60" s="9">
        <f>IF(IF(ISNUMBER(VLOOKUP("3",A4:Q114,4,FALSE)),VLOOKUP("3",A4:Q114,4,FALSE),0)&gt;0,IF(ISNUMBER(VLOOKUP("3",A4:Q114,4,FALSE)),VLOOKUP("3",A4:Q114,4,FALSE),0),0)</f>
        <v>6091807.1699999869</v>
      </c>
      <c r="E60" s="9">
        <f>IF(IF(ISNUMBER(VLOOKUP("3",A4:Q114,5,FALSE)),VLOOKUP("3",A4:Q114,5,FALSE),0)&gt;0,IF(ISNUMBER(VLOOKUP("3",A4:Q114,5,FALSE)),VLOOKUP("3",A4:Q114,5,FALSE),0),0)</f>
        <v>0</v>
      </c>
      <c r="F60" s="9">
        <f>IF(IF(ISNUMBER(VLOOKUP("3",A4:Q114,6,FALSE)),VLOOKUP("3",A4:Q114,6,FALSE),0)&gt;0,IF(ISNUMBER(VLOOKUP("3",A4:Q114,6,FALSE)),VLOOKUP("3",A4:Q114,6,FALSE),0),0)</f>
        <v>6496798.4600000083</v>
      </c>
      <c r="G60" s="9">
        <f>IF(IF(ISNUMBER(VLOOKUP("3",A4:Q114,7,FALSE)),VLOOKUP("3",A4:Q114,7,FALSE),0)&gt;0,IF(ISNUMBER(VLOOKUP("3",A4:Q114,7,FALSE)),VLOOKUP("3",A4:Q114,7,FALSE),0),0)</f>
        <v>0</v>
      </c>
      <c r="H60" s="9">
        <f>IF(IF(ISNUMBER(VLOOKUP("3",A4:Q114,8,FALSE)),VLOOKUP("3",A4:Q114,8,FALSE),0)&gt;0,IF(ISNUMBER(VLOOKUP("3",A4:Q114,8,FALSE)),VLOOKUP("3",A4:Q114,8,FALSE),0),0)</f>
        <v>5287430</v>
      </c>
      <c r="I60" s="9">
        <f>IF(IF(ISNUMBER(VLOOKUP("3",A4:Q114,9,FALSE)),VLOOKUP("3",A4:Q114,9,FALSE),0)&gt;0,IF(ISNUMBER(VLOOKUP("3",A4:Q114,9,FALSE)),VLOOKUP("3",A4:Q114,9,FALSE),0),0)</f>
        <v>5285345</v>
      </c>
      <c r="J60" s="9">
        <f>IF(IF(ISNUMBER(VLOOKUP("3",A4:Q114,10,FALSE)),VLOOKUP("3",A4:Q114,10,FALSE),0)&gt;0,IF(ISNUMBER(VLOOKUP("3",A4:Q114,10,FALSE)),VLOOKUP("3",A4:Q114,10,FALSE),0),0)</f>
        <v>4544486</v>
      </c>
      <c r="K60" s="9">
        <f>IF(IF(ISNUMBER(VLOOKUP("3",A4:Q114,11,FALSE)),VLOOKUP("3",A4:Q114,11,FALSE),0)&gt;0,IF(ISNUMBER(VLOOKUP("3",A4:Q114,11,FALSE)),VLOOKUP("3",A4:Q114,11,FALSE),0),0)</f>
        <v>4471287</v>
      </c>
      <c r="L60" s="9">
        <f>IF(IF(ISNUMBER(VLOOKUP("3",A4:Q114,12,FALSE)),VLOOKUP("3",A4:Q114,12,FALSE),0)&gt;0,IF(ISNUMBER(VLOOKUP("3",A4:Q114,12,FALSE)),VLOOKUP("3",A4:Q114,12,FALSE),0),0)</f>
        <v>3853703</v>
      </c>
      <c r="M60" s="9">
        <f>IF(IF(ISNUMBER(VLOOKUP("3",A4:Q114,13,FALSE)),VLOOKUP("3",A4:Q114,13,FALSE),0)&gt;0,IF(ISNUMBER(VLOOKUP("3",A4:Q114,13,FALSE)),VLOOKUP("3",A4:Q114,13,FALSE),0),0)</f>
        <v>1577984</v>
      </c>
      <c r="N60" s="9">
        <f>IF(IF(ISNUMBER(VLOOKUP("3",A4:Q114,14,FALSE)),VLOOKUP("3",A4:Q114,14,FALSE),0)&gt;0,IF(ISNUMBER(VLOOKUP("3",A4:Q114,14,FALSE)),VLOOKUP("3",A4:Q114,14,FALSE),0),0)</f>
        <v>1084532</v>
      </c>
      <c r="O60" s="9">
        <f>IF(IF(ISNUMBER(VLOOKUP("3",A4:Q114,15,FALSE)),VLOOKUP("3",A4:Q114,15,FALSE),0)&gt;0,IF(ISNUMBER(VLOOKUP("3",A4:Q114,15,FALSE)),VLOOKUP("3",A4:Q114,15,FALSE),0),0)</f>
        <v>987324</v>
      </c>
      <c r="P60" s="9">
        <f>IF(IF(ISNUMBER(VLOOKUP("3",A4:Q114,16,FALSE)),VLOOKUP("3",A4:Q114,16,FALSE),0)&gt;0,IF(ISNUMBER(VLOOKUP("3",A4:Q114,16,FALSE)),VLOOKUP("3",A4:Q114,16,FALSE),0),0)</f>
        <v>927969</v>
      </c>
      <c r="Q60" s="9">
        <f>IF(IF(ISNUMBER(VLOOKUP("3",A4:Q114,17,FALSE)),VLOOKUP("3",A4:Q114,17,FALSE),0)&gt;0,IF(ISNUMBER(VLOOKUP("3",A4:Q114,17,FALSE)),VLOOKUP("3",A4:Q114,17,FALSE),0),0)</f>
        <v>376060</v>
      </c>
    </row>
    <row r="61" spans="1:17" s="6" customFormat="1" ht="30.75" customHeight="1" x14ac:dyDescent="0.2">
      <c r="A61" s="10" t="s">
        <v>127</v>
      </c>
      <c r="B61" s="11" t="s">
        <v>128</v>
      </c>
      <c r="C61" s="12">
        <f>IF(IF(ISNUMBER(VLOOKUP("3",A4:Q114,3,FALSE)),VLOOKUP("3",A4:Q114,3,FALSE),0)&gt;0,IF(IF(ISNUMBER(VLOOKUP("3",A4:Q114,3,FALSE)),VLOOKUP("3",A4:Q114,3,FALSE),0)&gt;IF(ISNUMBER(VLOOKUP("5.1",A4:Q114,3,FALSE)),VLOOKUP("5.1",A4:Q114,3,FALSE),0),IF(ISNUMBER(VLOOKUP("5.1",A4:Q114,3,FALSE)),VLOOKUP("5.1",A4:Q114,3,FALSE),0),IF(ISNUMBER(VLOOKUP("3",A4:Q114,3,FALSE)),VLOOKUP("3",A4:Q114,3,FALSE),0)),0)</f>
        <v>3067704.4500000179</v>
      </c>
      <c r="D61" s="12">
        <f>IF(IF(ISNUMBER(VLOOKUP("3",A4:Q114,4,FALSE)),VLOOKUP("3",A4:Q114,4,FALSE),0)&gt;0,IF(IF(ISNUMBER(VLOOKUP("3",A4:Q114,4,FALSE)),VLOOKUP("3",A4:Q114,4,FALSE),0)&gt;IF(ISNUMBER(VLOOKUP("5.1",A4:Q114,4,FALSE)),VLOOKUP("5.1",A4:Q114,4,FALSE),0),IF(ISNUMBER(VLOOKUP("5.1",A4:Q114,4,FALSE)),VLOOKUP("5.1",A4:Q114,4,FALSE),0),IF(ISNUMBER(VLOOKUP("3",A4:Q114,4,FALSE)),VLOOKUP("3",A4:Q114,4,FALSE),0)),0)</f>
        <v>4551515.2</v>
      </c>
      <c r="E61" s="12">
        <f>IF(IF(ISNUMBER(VLOOKUP("3",A4:Q114,5,FALSE)),VLOOKUP("3",A4:Q114,5,FALSE),0)&gt;0,IF(IF(ISNUMBER(VLOOKUP("3",A4:Q114,5,FALSE)),VLOOKUP("3",A4:Q114,5,FALSE),0)&gt;IF(ISNUMBER(VLOOKUP("5.1",A4:Q114,5,FALSE)),VLOOKUP("5.1",A4:Q114,5,FALSE),0),IF(ISNUMBER(VLOOKUP("5.1",A4:Q114,5,FALSE)),VLOOKUP("5.1",A4:Q114,5,FALSE),0),IF(ISNUMBER(VLOOKUP("3",A4:Q114,5,FALSE)),VLOOKUP("3",A4:Q114,5,FALSE),0)),0)</f>
        <v>0</v>
      </c>
      <c r="F61" s="12">
        <f>IF(IF(ISNUMBER(VLOOKUP("3",A4:Q114,6,FALSE)),VLOOKUP("3",A4:Q114,6,FALSE),0)&gt;0,IF(IF(ISNUMBER(VLOOKUP("3",A4:Q114,6,FALSE)),VLOOKUP("3",A4:Q114,6,FALSE),0)&gt;IF(ISNUMBER(VLOOKUP("5.1",A4:Q114,6,FALSE)),VLOOKUP("5.1",A4:Q114,6,FALSE),0),IF(ISNUMBER(VLOOKUP("5.1",A4:Q114,6,FALSE)),VLOOKUP("5.1",A4:Q114,6,FALSE),0),IF(ISNUMBER(VLOOKUP("3",A4:Q114,6,FALSE)),VLOOKUP("3",A4:Q114,6,FALSE),0)),0)</f>
        <v>5169918.82</v>
      </c>
      <c r="G61" s="12">
        <f>IF(IF(ISNUMBER(VLOOKUP("3",A4:Q114,7,FALSE)),VLOOKUP("3",A4:Q114,7,FALSE),0)&gt;0,IF(IF(ISNUMBER(VLOOKUP("3",A4:Q114,7,FALSE)),VLOOKUP("3",A4:Q114,7,FALSE),0)&gt;IF(ISNUMBER(VLOOKUP("5.1",A4:Q114,7,FALSE)),VLOOKUP("5.1",A4:Q114,7,FALSE),0),IF(ISNUMBER(VLOOKUP("5.1",A4:Q114,7,FALSE)),VLOOKUP("5.1",A4:Q114,7,FALSE),0),IF(ISNUMBER(VLOOKUP("3",A4:Q114,7,FALSE)),VLOOKUP("3",A4:Q114,7,FALSE),0)),0)</f>
        <v>0</v>
      </c>
      <c r="H61" s="12">
        <f>IF(IF(ISNUMBER(VLOOKUP("3",A4:Q114,8,FALSE)),VLOOKUP("3",A4:Q114,8,FALSE),0)&gt;0,IF(IF(ISNUMBER(VLOOKUP("3",A4:Q114,8,FALSE)),VLOOKUP("3",A4:Q114,8,FALSE),0)&gt;IF(ISNUMBER(VLOOKUP("5.1",A4:Q114,8,FALSE)),VLOOKUP("5.1",A4:Q114,8,FALSE),0),IF(ISNUMBER(VLOOKUP("5.1",A4:Q114,8,FALSE)),VLOOKUP("5.1",A4:Q114,8,FALSE),0),IF(ISNUMBER(VLOOKUP("3",A4:Q114,8,FALSE)),VLOOKUP("3",A4:Q114,8,FALSE),0)),0)</f>
        <v>5287430</v>
      </c>
      <c r="I61" s="12">
        <f>IF(IF(ISNUMBER(VLOOKUP("3",A4:Q114,9,FALSE)),VLOOKUP("3",A4:Q114,9,FALSE),0)&gt;0,IF(IF(ISNUMBER(VLOOKUP("3",A4:Q114,9,FALSE)),VLOOKUP("3",A4:Q114,9,FALSE),0)&gt;IF(ISNUMBER(VLOOKUP("5.1",A4:Q114,9,FALSE)),VLOOKUP("5.1",A4:Q114,9,FALSE),0),IF(ISNUMBER(VLOOKUP("5.1",A4:Q114,9,FALSE)),VLOOKUP("5.1",A4:Q114,9,FALSE),0),IF(ISNUMBER(VLOOKUP("3",A4:Q114,9,FALSE)),VLOOKUP("3",A4:Q114,9,FALSE),0)),0)</f>
        <v>5285345</v>
      </c>
      <c r="J61" s="12">
        <f>IF(IF(ISNUMBER(VLOOKUP("3",A4:Q114,10,FALSE)),VLOOKUP("3",A4:Q114,10,FALSE),0)&gt;0,IF(IF(ISNUMBER(VLOOKUP("3",A4:Q114,10,FALSE)),VLOOKUP("3",A4:Q114,10,FALSE),0)&gt;IF(ISNUMBER(VLOOKUP("5.1",A4:Q114,10,FALSE)),VLOOKUP("5.1",A4:Q114,10,FALSE),0),IF(ISNUMBER(VLOOKUP("5.1",A4:Q114,10,FALSE)),VLOOKUP("5.1",A4:Q114,10,FALSE),0),IF(ISNUMBER(VLOOKUP("3",A4:Q114,10,FALSE)),VLOOKUP("3",A4:Q114,10,FALSE),0)),0)</f>
        <v>4544486</v>
      </c>
      <c r="K61" s="12">
        <f>IF(IF(ISNUMBER(VLOOKUP("3",A4:Q114,11,FALSE)),VLOOKUP("3",A4:Q114,11,FALSE),0)&gt;0,IF(IF(ISNUMBER(VLOOKUP("3",A4:Q114,11,FALSE)),VLOOKUP("3",A4:Q114,11,FALSE),0)&gt;IF(ISNUMBER(VLOOKUP("5.1",A4:Q114,11,FALSE)),VLOOKUP("5.1",A4:Q114,11,FALSE),0),IF(ISNUMBER(VLOOKUP("5.1",A4:Q114,11,FALSE)),VLOOKUP("5.1",A4:Q114,11,FALSE),0),IF(ISNUMBER(VLOOKUP("3",A4:Q114,11,FALSE)),VLOOKUP("3",A4:Q114,11,FALSE),0)),0)</f>
        <v>4471287</v>
      </c>
      <c r="L61" s="12">
        <f>IF(IF(ISNUMBER(VLOOKUP("3",A4:Q114,12,FALSE)),VLOOKUP("3",A4:Q114,12,FALSE),0)&gt;0,IF(IF(ISNUMBER(VLOOKUP("3",A4:Q114,12,FALSE)),VLOOKUP("3",A4:Q114,12,FALSE),0)&gt;IF(ISNUMBER(VLOOKUP("5.1",A4:Q114,12,FALSE)),VLOOKUP("5.1",A4:Q114,12,FALSE),0),IF(ISNUMBER(VLOOKUP("5.1",A4:Q114,12,FALSE)),VLOOKUP("5.1",A4:Q114,12,FALSE),0),IF(ISNUMBER(VLOOKUP("3",A4:Q114,12,FALSE)),VLOOKUP("3",A4:Q114,12,FALSE),0)),0)</f>
        <v>3853703</v>
      </c>
      <c r="M61" s="12">
        <f>IF(IF(ISNUMBER(VLOOKUP("3",A4:Q114,13,FALSE)),VLOOKUP("3",A4:Q114,13,FALSE),0)&gt;0,IF(IF(ISNUMBER(VLOOKUP("3",A4:Q114,13,FALSE)),VLOOKUP("3",A4:Q114,13,FALSE),0)&gt;IF(ISNUMBER(VLOOKUP("5.1",A4:Q114,13,FALSE)),VLOOKUP("5.1",A4:Q114,13,FALSE),0),IF(ISNUMBER(VLOOKUP("5.1",A4:Q114,13,FALSE)),VLOOKUP("5.1",A4:Q114,13,FALSE),0),IF(ISNUMBER(VLOOKUP("3",A4:Q114,13,FALSE)),VLOOKUP("3",A4:Q114,13,FALSE),0)),0)</f>
        <v>1577984</v>
      </c>
      <c r="N61" s="12">
        <f>IF(IF(ISNUMBER(VLOOKUP("3",A4:Q114,14,FALSE)),VLOOKUP("3",A4:Q114,14,FALSE),0)&gt;0,IF(IF(ISNUMBER(VLOOKUP("3",A4:Q114,14,FALSE)),VLOOKUP("3",A4:Q114,14,FALSE),0)&gt;IF(ISNUMBER(VLOOKUP("5.1",A4:Q114,14,FALSE)),VLOOKUP("5.1",A4:Q114,14,FALSE),0),IF(ISNUMBER(VLOOKUP("5.1",A4:Q114,14,FALSE)),VLOOKUP("5.1",A4:Q114,14,FALSE),0),IF(ISNUMBER(VLOOKUP("3",A4:Q114,14,FALSE)),VLOOKUP("3",A4:Q114,14,FALSE),0)),0)</f>
        <v>1084532</v>
      </c>
      <c r="O61" s="12">
        <f>IF(IF(ISNUMBER(VLOOKUP("3",A4:Q114,15,FALSE)),VLOOKUP("3",A4:Q114,15,FALSE),0)&gt;0,IF(IF(ISNUMBER(VLOOKUP("3",A4:Q114,15,FALSE)),VLOOKUP("3",A4:Q114,15,FALSE),0)&gt;IF(ISNUMBER(VLOOKUP("5.1",A4:Q114,15,FALSE)),VLOOKUP("5.1",A4:Q114,15,FALSE),0),IF(ISNUMBER(VLOOKUP("5.1",A4:Q114,15,FALSE)),VLOOKUP("5.1",A4:Q114,15,FALSE),0),IF(ISNUMBER(VLOOKUP("3",A4:Q114,15,FALSE)),VLOOKUP("3",A4:Q114,15,FALSE),0)),0)</f>
        <v>987324</v>
      </c>
      <c r="P61" s="12">
        <f>IF(IF(ISNUMBER(VLOOKUP("3",A4:Q114,16,FALSE)),VLOOKUP("3",A4:Q114,16,FALSE),0)&gt;0,IF(IF(ISNUMBER(VLOOKUP("3",A4:Q114,16,FALSE)),VLOOKUP("3",A4:Q114,16,FALSE),0)&gt;IF(ISNUMBER(VLOOKUP("5.1",A4:Q114,16,FALSE)),VLOOKUP("5.1",A4:Q114,16,FALSE),0),IF(ISNUMBER(VLOOKUP("5.1",A4:Q114,16,FALSE)),VLOOKUP("5.1",A4:Q114,16,FALSE),0),IF(ISNUMBER(VLOOKUP("3",A4:Q114,16,FALSE)),VLOOKUP("3",A4:Q114,16,FALSE),0)),0)</f>
        <v>927969</v>
      </c>
      <c r="Q61" s="12">
        <f>IF(IF(ISNUMBER(VLOOKUP("3",A4:Q114,17,FALSE)),VLOOKUP("3",A4:Q114,17,FALSE),0)&gt;0,IF(IF(ISNUMBER(VLOOKUP("3",A4:Q114,17,FALSE)),VLOOKUP("3",A4:Q114,17,FALSE),0)&gt;IF(ISNUMBER(VLOOKUP("5.1",A4:Q114,17,FALSE)),VLOOKUP("5.1",A4:Q114,17,FALSE),0),IF(ISNUMBER(VLOOKUP("5.1",A4:Q114,17,FALSE)),VLOOKUP("5.1",A4:Q114,17,FALSE),0),IF(ISNUMBER(VLOOKUP("3",A4:Q114,17,FALSE)),VLOOKUP("3",A4:Q114,17,FALSE),0)),0)</f>
        <v>376060</v>
      </c>
    </row>
    <row r="62" spans="1:17" s="6" customFormat="1" ht="27" customHeight="1" x14ac:dyDescent="0.2">
      <c r="A62" s="7" t="s">
        <v>129</v>
      </c>
      <c r="B62" s="8" t="s">
        <v>130</v>
      </c>
      <c r="C62" s="23" t="s">
        <v>52</v>
      </c>
      <c r="D62" s="23" t="s">
        <v>52</v>
      </c>
      <c r="E62" s="23" t="s">
        <v>52</v>
      </c>
      <c r="F62" s="23" t="s">
        <v>52</v>
      </c>
      <c r="G62" s="23" t="s">
        <v>52</v>
      </c>
      <c r="H62" s="23" t="s">
        <v>52</v>
      </c>
      <c r="I62" s="23" t="s">
        <v>52</v>
      </c>
      <c r="J62" s="23" t="s">
        <v>52</v>
      </c>
      <c r="K62" s="23" t="s">
        <v>52</v>
      </c>
      <c r="L62" s="23" t="s">
        <v>52</v>
      </c>
      <c r="M62" s="23" t="s">
        <v>52</v>
      </c>
      <c r="N62" s="23" t="s">
        <v>52</v>
      </c>
      <c r="O62" s="23" t="s">
        <v>52</v>
      </c>
      <c r="P62" s="23" t="s">
        <v>52</v>
      </c>
      <c r="Q62" s="23" t="s">
        <v>52</v>
      </c>
    </row>
    <row r="63" spans="1:17" s="6" customFormat="1" ht="27" customHeight="1" x14ac:dyDescent="0.2">
      <c r="A63" s="10" t="s">
        <v>131</v>
      </c>
      <c r="B63" s="11" t="s">
        <v>132</v>
      </c>
      <c r="C63" s="12">
        <v>0</v>
      </c>
      <c r="D63" s="12">
        <v>75946619.859999999</v>
      </c>
      <c r="E63" s="12">
        <v>76273150</v>
      </c>
      <c r="F63" s="12">
        <v>76795912.680000007</v>
      </c>
      <c r="G63" s="12">
        <v>83951319</v>
      </c>
      <c r="H63" s="12">
        <v>79585558</v>
      </c>
      <c r="I63" s="12">
        <v>81336440</v>
      </c>
      <c r="J63" s="12">
        <v>83369851</v>
      </c>
      <c r="K63" s="12">
        <v>85454097</v>
      </c>
      <c r="L63" s="12">
        <v>87590449</v>
      </c>
      <c r="M63" s="12">
        <v>89780210</v>
      </c>
      <c r="N63" s="12">
        <v>92024715</v>
      </c>
      <c r="O63" s="12">
        <v>94325333</v>
      </c>
      <c r="P63" s="12">
        <v>96683466</v>
      </c>
      <c r="Q63" s="12">
        <v>99100553</v>
      </c>
    </row>
    <row r="64" spans="1:17" s="6" customFormat="1" ht="27" customHeight="1" x14ac:dyDescent="0.2">
      <c r="A64" s="10" t="s">
        <v>133</v>
      </c>
      <c r="B64" s="11" t="s">
        <v>134</v>
      </c>
      <c r="C64" s="12">
        <v>0</v>
      </c>
      <c r="D64" s="12">
        <v>10500899.59</v>
      </c>
      <c r="E64" s="12">
        <v>13347557</v>
      </c>
      <c r="F64" s="12">
        <v>13459520.789999999</v>
      </c>
      <c r="G64" s="12">
        <v>12870039</v>
      </c>
      <c r="H64" s="12">
        <v>16743206</v>
      </c>
      <c r="I64" s="12">
        <v>17111557</v>
      </c>
      <c r="J64" s="12">
        <v>17539346</v>
      </c>
      <c r="K64" s="12">
        <v>17977830</v>
      </c>
      <c r="L64" s="12">
        <v>18427276</v>
      </c>
      <c r="M64" s="12">
        <v>18887958</v>
      </c>
      <c r="N64" s="12">
        <v>19360157</v>
      </c>
      <c r="O64" s="12">
        <v>19844161</v>
      </c>
      <c r="P64" s="12">
        <v>20340265</v>
      </c>
      <c r="Q64" s="12">
        <v>20848772</v>
      </c>
    </row>
    <row r="65" spans="1:17" s="6" customFormat="1" ht="27" customHeight="1" x14ac:dyDescent="0.2">
      <c r="A65" s="10" t="s">
        <v>135</v>
      </c>
      <c r="B65" s="11" t="s">
        <v>136</v>
      </c>
      <c r="C65" s="12">
        <f>IF(ISNUMBER(VLOOKUP("11.3.1",A4:Q114,3,FALSE)),VLOOKUP("11.3.1",A4:Q114,3,FALSE),0) + IF(ISNUMBER(VLOOKUP("11.3.2",A4:Q114,3,FALSE)),VLOOKUP("11.3.2",A4:Q114,3,FALSE),0)</f>
        <v>0</v>
      </c>
      <c r="D65" s="12">
        <f>IF(ISNUMBER(VLOOKUP("11.3.1",A4:Q114,4,FALSE)),VLOOKUP("11.3.1",A4:Q114,4,FALSE),0) + IF(ISNUMBER(VLOOKUP("11.3.2",A4:Q114,4,FALSE)),VLOOKUP("11.3.2",A4:Q114,4,FALSE),0)</f>
        <v>3220680</v>
      </c>
      <c r="E65" s="12">
        <f>IF(ISNUMBER(VLOOKUP("11.3.1",A4:Q114,5,FALSE)),VLOOKUP("11.3.1",A4:Q114,5,FALSE),0) + IF(ISNUMBER(VLOOKUP("11.3.2",A4:Q114,5,FALSE)),VLOOKUP("11.3.2",A4:Q114,5,FALSE),0)</f>
        <v>4952315</v>
      </c>
      <c r="F65" s="12">
        <f>IF(ISNUMBER(VLOOKUP("11.3.1",A4:Q114,6,FALSE)),VLOOKUP("11.3.1",A4:Q114,6,FALSE),0) + IF(ISNUMBER(VLOOKUP("11.3.2",A4:Q114,6,FALSE)),VLOOKUP("11.3.2",A4:Q114,6,FALSE),0)</f>
        <v>3512284</v>
      </c>
      <c r="G65" s="12">
        <f>IF(ISNUMBER(VLOOKUP("11.3.1",A4:Q114,7,FALSE)),VLOOKUP("11.3.1",A4:Q114,7,FALSE),0) + IF(ISNUMBER(VLOOKUP("11.3.2",A4:Q114,7,FALSE)),VLOOKUP("11.3.2",A4:Q114,7,FALSE),0)</f>
        <v>7783386</v>
      </c>
      <c r="H65" s="12">
        <f>IF(ISNUMBER(VLOOKUP("11.3.1",A4:Q114,8,FALSE)),VLOOKUP("11.3.1",A4:Q114,8,FALSE),0) + IF(ISNUMBER(VLOOKUP("11.3.2",A4:Q114,8,FALSE)),VLOOKUP("11.3.2",A4:Q114,8,FALSE),0)</f>
        <v>30072183</v>
      </c>
      <c r="I65" s="12">
        <f>IF(ISNUMBER(VLOOKUP("11.3.1",A4:Q114,9,FALSE)),VLOOKUP("11.3.1",A4:Q114,9,FALSE),0) + IF(ISNUMBER(VLOOKUP("11.3.2",A4:Q114,9,FALSE)),VLOOKUP("11.3.2",A4:Q114,9,FALSE),0)</f>
        <v>8326969</v>
      </c>
      <c r="J65" s="12">
        <f>IF(ISNUMBER(VLOOKUP("11.3.1",A4:Q114,10,FALSE)),VLOOKUP("11.3.1",A4:Q114,10,FALSE),0) + IF(ISNUMBER(VLOOKUP("11.3.2",A4:Q114,10,FALSE)),VLOOKUP("11.3.2",A4:Q114,10,FALSE),0)</f>
        <v>474640</v>
      </c>
      <c r="K65" s="12">
        <f>IF(ISNUMBER(VLOOKUP("11.3.1",A4:Q114,11,FALSE)),VLOOKUP("11.3.1",A4:Q114,11,FALSE),0) + IF(ISNUMBER(VLOOKUP("11.3.2",A4:Q114,11,FALSE)),VLOOKUP("11.3.2",A4:Q114,11,FALSE),0)</f>
        <v>0</v>
      </c>
      <c r="L65" s="12">
        <f>IF(ISNUMBER(VLOOKUP("11.3.1",A4:Q114,12,FALSE)),VLOOKUP("11.3.1",A4:Q114,12,FALSE),0) + IF(ISNUMBER(VLOOKUP("11.3.2",A4:Q114,12,FALSE)),VLOOKUP("11.3.2",A4:Q114,12,FALSE),0)</f>
        <v>0</v>
      </c>
      <c r="M65" s="12">
        <f>IF(ISNUMBER(VLOOKUP("11.3.1",A4:Q114,13,FALSE)),VLOOKUP("11.3.1",A4:Q114,13,FALSE),0) + IF(ISNUMBER(VLOOKUP("11.3.2",A4:Q114,13,FALSE)),VLOOKUP("11.3.2",A4:Q114,13,FALSE),0)</f>
        <v>0</v>
      </c>
      <c r="N65" s="12">
        <f>IF(ISNUMBER(VLOOKUP("11.3.1",A4:Q114,14,FALSE)),VLOOKUP("11.3.1",A4:Q114,14,FALSE),0) + IF(ISNUMBER(VLOOKUP("11.3.2",A4:Q114,14,FALSE)),VLOOKUP("11.3.2",A4:Q114,14,FALSE),0)</f>
        <v>0</v>
      </c>
      <c r="O65" s="12">
        <f>IF(ISNUMBER(VLOOKUP("11.3.1",A4:Q114,15,FALSE)),VLOOKUP("11.3.1",A4:Q114,15,FALSE),0) + IF(ISNUMBER(VLOOKUP("11.3.2",A4:Q114,15,FALSE)),VLOOKUP("11.3.2",A4:Q114,15,FALSE),0)</f>
        <v>0</v>
      </c>
      <c r="P65" s="12">
        <f>IF(ISNUMBER(VLOOKUP("11.3.1",A4:Q114,16,FALSE)),VLOOKUP("11.3.1",A4:Q114,16,FALSE),0) + IF(ISNUMBER(VLOOKUP("11.3.2",A4:Q114,16,FALSE)),VLOOKUP("11.3.2",A4:Q114,16,FALSE),0)</f>
        <v>0</v>
      </c>
      <c r="Q65" s="12">
        <f>IF(ISNUMBER(VLOOKUP("11.3.1",A4:Q114,17,FALSE)),VLOOKUP("11.3.1",A4:Q114,17,FALSE),0) + IF(ISNUMBER(VLOOKUP("11.3.2",A4:Q114,17,FALSE)),VLOOKUP("11.3.2",A4:Q114,17,FALSE),0)</f>
        <v>0</v>
      </c>
    </row>
    <row r="66" spans="1:17" s="6" customFormat="1" ht="14.25" customHeight="1" x14ac:dyDescent="0.2">
      <c r="A66" s="10" t="s">
        <v>137</v>
      </c>
      <c r="B66" s="11" t="s">
        <v>138</v>
      </c>
      <c r="C66" s="12">
        <v>0</v>
      </c>
      <c r="D66" s="12">
        <v>2663290</v>
      </c>
      <c r="E66" s="12">
        <v>3821815</v>
      </c>
      <c r="F66" s="12">
        <v>2505928</v>
      </c>
      <c r="G66" s="12">
        <v>2376772</v>
      </c>
      <c r="H66" s="12">
        <v>4420549</v>
      </c>
      <c r="I66" s="12">
        <v>1013009</v>
      </c>
      <c r="J66" s="12">
        <v>474640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</row>
    <row r="67" spans="1:17" s="6" customFormat="1" ht="14.25" customHeight="1" x14ac:dyDescent="0.2">
      <c r="A67" s="10" t="s">
        <v>139</v>
      </c>
      <c r="B67" s="11" t="s">
        <v>140</v>
      </c>
      <c r="C67" s="12">
        <v>0</v>
      </c>
      <c r="D67" s="12">
        <v>557390</v>
      </c>
      <c r="E67" s="12">
        <v>1130500</v>
      </c>
      <c r="F67" s="12">
        <v>1006356</v>
      </c>
      <c r="G67" s="12">
        <v>5406614</v>
      </c>
      <c r="H67" s="12">
        <v>25651634</v>
      </c>
      <c r="I67" s="12">
        <v>7313960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s="6" customFormat="1" ht="14.25" customHeight="1" x14ac:dyDescent="0.2">
      <c r="A68" s="10" t="s">
        <v>141</v>
      </c>
      <c r="B68" s="11" t="s">
        <v>142</v>
      </c>
      <c r="C68" s="12">
        <v>0</v>
      </c>
      <c r="D68" s="12">
        <v>3667936</v>
      </c>
      <c r="E68" s="12">
        <v>7149132</v>
      </c>
      <c r="F68" s="12">
        <v>9267807</v>
      </c>
      <c r="G68" s="12">
        <v>13214526</v>
      </c>
      <c r="H68" s="12">
        <v>19812796</v>
      </c>
      <c r="I68" s="12">
        <v>967802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s="6" customFormat="1" ht="14.25" customHeight="1" x14ac:dyDescent="0.2">
      <c r="A69" s="10" t="s">
        <v>143</v>
      </c>
      <c r="B69" s="11" t="s">
        <v>144</v>
      </c>
      <c r="C69" s="12">
        <v>0</v>
      </c>
      <c r="D69" s="12">
        <v>9439093.0299999993</v>
      </c>
      <c r="E69" s="12">
        <v>9967860</v>
      </c>
      <c r="F69" s="12">
        <v>6696388.4500000002</v>
      </c>
      <c r="G69" s="12">
        <v>16476415</v>
      </c>
      <c r="H69" s="12">
        <v>5838995</v>
      </c>
      <c r="I69" s="12">
        <v>11929148</v>
      </c>
      <c r="J69" s="12">
        <v>10182686</v>
      </c>
      <c r="K69" s="12">
        <v>11302950</v>
      </c>
      <c r="L69" s="12">
        <v>12929189</v>
      </c>
      <c r="M69" s="12">
        <v>15936155</v>
      </c>
      <c r="N69" s="12">
        <v>17018881</v>
      </c>
      <c r="O69" s="12">
        <v>17612044</v>
      </c>
      <c r="P69" s="12">
        <v>18068910</v>
      </c>
      <c r="Q69" s="12">
        <v>19067756</v>
      </c>
    </row>
    <row r="70" spans="1:17" s="6" customFormat="1" ht="14.25" customHeight="1" x14ac:dyDescent="0.2">
      <c r="A70" s="10" t="s">
        <v>145</v>
      </c>
      <c r="B70" s="11" t="s">
        <v>146</v>
      </c>
      <c r="C70" s="12">
        <v>0</v>
      </c>
      <c r="D70" s="12">
        <v>1528095.82</v>
      </c>
      <c r="E70" s="12">
        <v>871173</v>
      </c>
      <c r="F70" s="12">
        <v>1585397.49</v>
      </c>
      <c r="G70" s="12">
        <v>8057733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s="6" customFormat="1" ht="12.75" hidden="1" x14ac:dyDescent="0.2">
      <c r="A71" s="10" t="s">
        <v>147</v>
      </c>
      <c r="B71" s="11" t="s">
        <v>34</v>
      </c>
      <c r="C71" s="12">
        <v>11060463.050000001</v>
      </c>
      <c r="D71" s="12">
        <v>68000</v>
      </c>
      <c r="E71" s="12">
        <v>645041</v>
      </c>
      <c r="F71" s="12">
        <v>0</v>
      </c>
      <c r="G71" s="12">
        <v>174056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s="6" customFormat="1" ht="39.950000000000003" customHeight="1" x14ac:dyDescent="0.2">
      <c r="A72" s="7" t="s">
        <v>148</v>
      </c>
      <c r="B72" s="8" t="s">
        <v>149</v>
      </c>
      <c r="C72" s="23" t="s">
        <v>52</v>
      </c>
      <c r="D72" s="23" t="s">
        <v>52</v>
      </c>
      <c r="E72" s="23" t="s">
        <v>52</v>
      </c>
      <c r="F72" s="23" t="s">
        <v>52</v>
      </c>
      <c r="G72" s="23" t="s">
        <v>52</v>
      </c>
      <c r="H72" s="23" t="s">
        <v>52</v>
      </c>
      <c r="I72" s="23" t="s">
        <v>52</v>
      </c>
      <c r="J72" s="23" t="s">
        <v>52</v>
      </c>
      <c r="K72" s="23" t="s">
        <v>52</v>
      </c>
      <c r="L72" s="23" t="s">
        <v>52</v>
      </c>
      <c r="M72" s="23" t="s">
        <v>52</v>
      </c>
      <c r="N72" s="23" t="s">
        <v>52</v>
      </c>
      <c r="O72" s="23" t="s">
        <v>52</v>
      </c>
      <c r="P72" s="23" t="s">
        <v>52</v>
      </c>
      <c r="Q72" s="23" t="s">
        <v>52</v>
      </c>
    </row>
    <row r="73" spans="1:17" s="6" customFormat="1" ht="39.950000000000003" customHeight="1" x14ac:dyDescent="0.2">
      <c r="A73" s="10" t="s">
        <v>150</v>
      </c>
      <c r="B73" s="11" t="s">
        <v>151</v>
      </c>
      <c r="C73" s="12">
        <v>0</v>
      </c>
      <c r="D73" s="12">
        <v>2596788.31</v>
      </c>
      <c r="E73" s="12">
        <v>3870392</v>
      </c>
      <c r="F73" s="12">
        <v>4525312.4000000004</v>
      </c>
      <c r="G73" s="12">
        <v>6986836</v>
      </c>
      <c r="H73" s="12">
        <v>1275767</v>
      </c>
      <c r="I73" s="12">
        <v>60143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</row>
    <row r="74" spans="1:17" s="6" customFormat="1" ht="14.25" customHeight="1" x14ac:dyDescent="0.2">
      <c r="A74" s="10" t="s">
        <v>152</v>
      </c>
      <c r="B74" s="11" t="s">
        <v>153</v>
      </c>
      <c r="C74" s="12">
        <v>0</v>
      </c>
      <c r="D74" s="12">
        <v>2452519.0299999998</v>
      </c>
      <c r="E74" s="12">
        <v>3812303</v>
      </c>
      <c r="F74" s="12">
        <v>4479362.6100000003</v>
      </c>
      <c r="G74" s="12">
        <v>6852370</v>
      </c>
      <c r="H74" s="12">
        <v>1275767</v>
      </c>
      <c r="I74" s="12">
        <v>60143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</row>
    <row r="75" spans="1:17" s="6" customFormat="1" ht="39.950000000000003" customHeight="1" x14ac:dyDescent="0.2">
      <c r="A75" s="10" t="s">
        <v>154</v>
      </c>
      <c r="B75" s="11" t="s">
        <v>155</v>
      </c>
      <c r="C75" s="12">
        <v>0</v>
      </c>
      <c r="D75" s="12">
        <v>2452519</v>
      </c>
      <c r="E75" s="12">
        <v>3812303</v>
      </c>
      <c r="F75" s="12">
        <v>4479362.6100000003</v>
      </c>
      <c r="G75" s="12">
        <v>6852370</v>
      </c>
      <c r="H75" s="12">
        <v>1275767</v>
      </c>
      <c r="I75" s="12">
        <v>60143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</row>
    <row r="76" spans="1:17" s="6" customFormat="1" ht="39.950000000000003" customHeight="1" x14ac:dyDescent="0.2">
      <c r="A76" s="10" t="s">
        <v>156</v>
      </c>
      <c r="B76" s="11" t="s">
        <v>157</v>
      </c>
      <c r="C76" s="12">
        <v>0</v>
      </c>
      <c r="D76" s="12">
        <v>716325</v>
      </c>
      <c r="E76" s="12">
        <v>204135</v>
      </c>
      <c r="F76" s="12">
        <v>220276.04</v>
      </c>
      <c r="G76" s="12">
        <v>10540676</v>
      </c>
      <c r="H76" s="12">
        <v>15435105</v>
      </c>
      <c r="I76" s="12">
        <v>4949870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s="6" customFormat="1" ht="14.25" customHeight="1" x14ac:dyDescent="0.2">
      <c r="A77" s="10" t="s">
        <v>158</v>
      </c>
      <c r="B77" s="11" t="s">
        <v>153</v>
      </c>
      <c r="C77" s="12">
        <v>0</v>
      </c>
      <c r="D77" s="12">
        <v>716325</v>
      </c>
      <c r="E77" s="12">
        <v>204135</v>
      </c>
      <c r="F77" s="12">
        <v>220276.04</v>
      </c>
      <c r="G77" s="12">
        <v>10540676</v>
      </c>
      <c r="H77" s="12">
        <v>15435105</v>
      </c>
      <c r="I77" s="12">
        <v>4949870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s="6" customFormat="1" ht="39.950000000000003" customHeight="1" x14ac:dyDescent="0.2">
      <c r="A78" s="10" t="s">
        <v>159</v>
      </c>
      <c r="B78" s="11" t="s">
        <v>160</v>
      </c>
      <c r="C78" s="12">
        <v>0</v>
      </c>
      <c r="D78" s="12">
        <v>716325</v>
      </c>
      <c r="E78" s="12">
        <v>0</v>
      </c>
      <c r="F78" s="12">
        <v>220276.04</v>
      </c>
      <c r="G78" s="12">
        <v>9599777</v>
      </c>
      <c r="H78" s="12">
        <v>4324162</v>
      </c>
      <c r="I78" s="12">
        <v>822632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</row>
    <row r="79" spans="1:17" s="6" customFormat="1" ht="39.950000000000003" customHeight="1" x14ac:dyDescent="0.2">
      <c r="A79" s="10" t="s">
        <v>161</v>
      </c>
      <c r="B79" s="11" t="s">
        <v>162</v>
      </c>
      <c r="C79" s="12">
        <v>0</v>
      </c>
      <c r="D79" s="12">
        <v>2597541.89</v>
      </c>
      <c r="E79" s="12">
        <v>4694401</v>
      </c>
      <c r="F79" s="12">
        <v>3212404.35</v>
      </c>
      <c r="G79" s="12">
        <v>7064801</v>
      </c>
      <c r="H79" s="12">
        <v>1283106</v>
      </c>
      <c r="I79" s="12">
        <v>69189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s="6" customFormat="1" ht="27" customHeight="1" x14ac:dyDescent="0.2">
      <c r="A80" s="10" t="s">
        <v>163</v>
      </c>
      <c r="B80" s="11" t="s">
        <v>164</v>
      </c>
      <c r="C80" s="12">
        <v>0</v>
      </c>
      <c r="D80" s="12">
        <v>2358252.23</v>
      </c>
      <c r="E80" s="12">
        <v>4533940</v>
      </c>
      <c r="F80" s="12">
        <v>3056460.25</v>
      </c>
      <c r="G80" s="12">
        <v>6852370</v>
      </c>
      <c r="H80" s="12">
        <v>1275767</v>
      </c>
      <c r="I80" s="12">
        <v>60143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7" s="6" customFormat="1" ht="52.9" customHeight="1" x14ac:dyDescent="0.2">
      <c r="A81" s="10" t="s">
        <v>165</v>
      </c>
      <c r="B81" s="11" t="s">
        <v>166</v>
      </c>
      <c r="C81" s="12">
        <v>0</v>
      </c>
      <c r="D81" s="12">
        <v>2358252</v>
      </c>
      <c r="E81" s="12">
        <v>4694401</v>
      </c>
      <c r="F81" s="12">
        <v>3212404.35</v>
      </c>
      <c r="G81" s="12">
        <v>7064801</v>
      </c>
      <c r="H81" s="12">
        <v>1283106</v>
      </c>
      <c r="I81" s="12">
        <v>69189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</row>
    <row r="82" spans="1:17" s="6" customFormat="1" ht="39.950000000000003" customHeight="1" x14ac:dyDescent="0.2">
      <c r="A82" s="10" t="s">
        <v>167</v>
      </c>
      <c r="B82" s="11" t="s">
        <v>168</v>
      </c>
      <c r="C82" s="12">
        <v>0</v>
      </c>
      <c r="D82" s="12">
        <v>1061167.81</v>
      </c>
      <c r="E82" s="12">
        <v>2507554</v>
      </c>
      <c r="F82" s="12">
        <v>2371593.4500000002</v>
      </c>
      <c r="G82" s="12">
        <v>13175002</v>
      </c>
      <c r="H82" s="12">
        <v>17968634</v>
      </c>
      <c r="I82" s="12">
        <v>7313960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 s="6" customFormat="1" ht="27" customHeight="1" x14ac:dyDescent="0.2">
      <c r="A83" s="10" t="s">
        <v>169</v>
      </c>
      <c r="B83" s="11" t="s">
        <v>164</v>
      </c>
      <c r="C83" s="12">
        <v>0</v>
      </c>
      <c r="D83" s="12">
        <v>895407.2</v>
      </c>
      <c r="E83" s="12">
        <v>0</v>
      </c>
      <c r="F83" s="12">
        <v>0</v>
      </c>
      <c r="G83" s="12">
        <v>10540676</v>
      </c>
      <c r="H83" s="12">
        <v>14314105</v>
      </c>
      <c r="I83" s="12">
        <v>6070870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</row>
    <row r="84" spans="1:17" s="6" customFormat="1" ht="52.9" customHeight="1" x14ac:dyDescent="0.2">
      <c r="A84" s="10" t="s">
        <v>170</v>
      </c>
      <c r="B84" s="11" t="s">
        <v>171</v>
      </c>
      <c r="C84" s="12">
        <v>0</v>
      </c>
      <c r="D84" s="12">
        <v>1061168</v>
      </c>
      <c r="E84" s="12">
        <v>0</v>
      </c>
      <c r="F84" s="12">
        <v>0</v>
      </c>
      <c r="G84" s="12">
        <v>11678458</v>
      </c>
      <c r="H84" s="12">
        <v>5087250</v>
      </c>
      <c r="I84" s="12">
        <v>967802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</row>
    <row r="85" spans="1:17" s="6" customFormat="1" ht="69.75" customHeight="1" x14ac:dyDescent="0.2">
      <c r="A85" s="10" t="s">
        <v>172</v>
      </c>
      <c r="B85" s="11" t="s">
        <v>173</v>
      </c>
      <c r="C85" s="12">
        <f>(IF(ISNUMBER(VLOOKUP("12.3",A4:Q114,3,FALSE)),VLOOKUP("12.3",A4:Q114,3,FALSE),0)+IF(ISNUMBER(VLOOKUP("12.4",A4:Q114,3,FALSE)),VLOOKUP("12.4",A4:Q114,3,FALSE),0))-(IF(ISNUMBER(VLOOKUP("12.3.1",A4:Q114,3,FALSE)),VLOOKUP("12.3.1",A4:Q114,3,FALSE),0)+IF(ISNUMBER(VLOOKUP("12.4.1",A4:Q114,3,FALSE)),VLOOKUP("12.4.1",A4:Q114,3,FALSE),0))</f>
        <v>0</v>
      </c>
      <c r="D85" s="12">
        <f>(IF(ISNUMBER(VLOOKUP("12.3",A4:Q114,4,FALSE)),VLOOKUP("12.3",A4:Q114,4,FALSE),0)+IF(ISNUMBER(VLOOKUP("12.4",A4:Q114,4,FALSE)),VLOOKUP("12.4",A4:Q114,4,FALSE),0))-(IF(ISNUMBER(VLOOKUP("12.3.1",A4:Q114,4,FALSE)),VLOOKUP("12.3.1",A4:Q114,4,FALSE),0)+IF(ISNUMBER(VLOOKUP("12.4.1",A4:Q114,4,FALSE)),VLOOKUP("12.4.1",A4:Q114,4,FALSE),0))</f>
        <v>405050.27000000048</v>
      </c>
      <c r="E85" s="12">
        <f>(IF(ISNUMBER(VLOOKUP("12.3",A4:Q114,5,FALSE)),VLOOKUP("12.3",A4:Q114,5,FALSE),0)+IF(ISNUMBER(VLOOKUP("12.4",A4:Q114,5,FALSE)),VLOOKUP("12.4",A4:Q114,5,FALSE),0))-(IF(ISNUMBER(VLOOKUP("12.3.1",A4:Q114,5,FALSE)),VLOOKUP("12.3.1",A4:Q114,5,FALSE),0)+IF(ISNUMBER(VLOOKUP("12.4.1",A4:Q114,5,FALSE)),VLOOKUP("12.4.1",A4:Q114,5,FALSE),0))</f>
        <v>2668015</v>
      </c>
      <c r="F85" s="12">
        <f>(IF(ISNUMBER(VLOOKUP("12.3",A4:Q114,6,FALSE)),VLOOKUP("12.3",A4:Q114,6,FALSE),0)+IF(ISNUMBER(VLOOKUP("12.4",A4:Q114,6,FALSE)),VLOOKUP("12.4",A4:Q114,6,FALSE),0))-(IF(ISNUMBER(VLOOKUP("12.3.1",A4:Q114,6,FALSE)),VLOOKUP("12.3.1",A4:Q114,6,FALSE),0)+IF(ISNUMBER(VLOOKUP("12.4.1",A4:Q114,6,FALSE)),VLOOKUP("12.4.1",A4:Q114,6,FALSE),0))</f>
        <v>2527537.5500000007</v>
      </c>
      <c r="G85" s="12">
        <f>(IF(ISNUMBER(VLOOKUP("12.3",A4:Q114,7,FALSE)),VLOOKUP("12.3",A4:Q114,7,FALSE),0)+IF(ISNUMBER(VLOOKUP("12.4",A4:Q114,7,FALSE)),VLOOKUP("12.4",A4:Q114,7,FALSE),0))-(IF(ISNUMBER(VLOOKUP("12.3.1",A4:Q114,7,FALSE)),VLOOKUP("12.3.1",A4:Q114,7,FALSE),0)+IF(ISNUMBER(VLOOKUP("12.4.1",A4:Q114,7,FALSE)),VLOOKUP("12.4.1",A4:Q114,7,FALSE),0))</f>
        <v>2846757</v>
      </c>
      <c r="H85" s="12">
        <f>(IF(ISNUMBER(VLOOKUP("12.3",A4:Q114,8,FALSE)),VLOOKUP("12.3",A4:Q114,8,FALSE),0)+IF(ISNUMBER(VLOOKUP("12.4",A4:Q114,8,FALSE)),VLOOKUP("12.4",A4:Q114,8,FALSE),0))-(IF(ISNUMBER(VLOOKUP("12.3.1",A4:Q114,8,FALSE)),VLOOKUP("12.3.1",A4:Q114,8,FALSE),0)+IF(ISNUMBER(VLOOKUP("12.4.1",A4:Q114,8,FALSE)),VLOOKUP("12.4.1",A4:Q114,8,FALSE),0))</f>
        <v>3661868</v>
      </c>
      <c r="I85" s="12">
        <f>(IF(ISNUMBER(VLOOKUP("12.3",A4:Q114,9,FALSE)),VLOOKUP("12.3",A4:Q114,9,FALSE),0)+IF(ISNUMBER(VLOOKUP("12.4",A4:Q114,9,FALSE)),VLOOKUP("12.4",A4:Q114,9,FALSE),0))-(IF(ISNUMBER(VLOOKUP("12.3.1",A4:Q114,9,FALSE)),VLOOKUP("12.3.1",A4:Q114,9,FALSE),0)+IF(ISNUMBER(VLOOKUP("12.4.1",A4:Q114,9,FALSE)),VLOOKUP("12.4.1",A4:Q114,9,FALSE),0))</f>
        <v>1252136</v>
      </c>
      <c r="J85" s="12">
        <f>(IF(ISNUMBER(VLOOKUP("12.3",A4:Q114,10,FALSE)),VLOOKUP("12.3",A4:Q114,10,FALSE),0)+IF(ISNUMBER(VLOOKUP("12.4",A4:Q114,10,FALSE)),VLOOKUP("12.4",A4:Q114,10,FALSE),0))-(IF(ISNUMBER(VLOOKUP("12.3.1",A4:Q114,10,FALSE)),VLOOKUP("12.3.1",A4:Q114,10,FALSE),0)+IF(ISNUMBER(VLOOKUP("12.4.1",A4:Q114,10,FALSE)),VLOOKUP("12.4.1",A4:Q114,10,FALSE),0))</f>
        <v>0</v>
      </c>
      <c r="K85" s="12">
        <f>(IF(ISNUMBER(VLOOKUP("12.3",A4:Q114,11,FALSE)),VLOOKUP("12.3",A4:Q114,11,FALSE),0)+IF(ISNUMBER(VLOOKUP("12.4",A4:Q114,11,FALSE)),VLOOKUP("12.4",A4:Q114,11,FALSE),0))-(IF(ISNUMBER(VLOOKUP("12.3.1",A4:Q114,11,FALSE)),VLOOKUP("12.3.1",A4:Q114,11,FALSE),0)+IF(ISNUMBER(VLOOKUP("12.4.1",A4:Q114,11,FALSE)),VLOOKUP("12.4.1",A4:Q114,11,FALSE),0))</f>
        <v>0</v>
      </c>
      <c r="L85" s="12">
        <f>(IF(ISNUMBER(VLOOKUP("12.3",A4:Q114,12,FALSE)),VLOOKUP("12.3",A4:Q114,12,FALSE),0)+IF(ISNUMBER(VLOOKUP("12.4",A4:Q114,12,FALSE)),VLOOKUP("12.4",A4:Q114,12,FALSE),0))-(IF(ISNUMBER(VLOOKUP("12.3.1",A4:Q114,12,FALSE)),VLOOKUP("12.3.1",A4:Q114,12,FALSE),0)+IF(ISNUMBER(VLOOKUP("12.4.1",A4:Q114,12,FALSE)),VLOOKUP("12.4.1",A4:Q114,12,FALSE),0))</f>
        <v>0</v>
      </c>
      <c r="M85" s="12">
        <f>(IF(ISNUMBER(VLOOKUP("12.3",A4:Q114,13,FALSE)),VLOOKUP("12.3",A4:Q114,13,FALSE),0)+IF(ISNUMBER(VLOOKUP("12.4",A4:Q114,13,FALSE)),VLOOKUP("12.4",A4:Q114,13,FALSE),0))-(IF(ISNUMBER(VLOOKUP("12.3.1",A4:Q114,13,FALSE)),VLOOKUP("12.3.1",A4:Q114,13,FALSE),0)+IF(ISNUMBER(VLOOKUP("12.4.1",A4:Q114,13,FALSE)),VLOOKUP("12.4.1",A4:Q114,13,FALSE),0))</f>
        <v>0</v>
      </c>
      <c r="N85" s="12">
        <f>(IF(ISNUMBER(VLOOKUP("12.3",A4:Q114,14,FALSE)),VLOOKUP("12.3",A4:Q114,14,FALSE),0)+IF(ISNUMBER(VLOOKUP("12.4",A4:Q114,14,FALSE)),VLOOKUP("12.4",A4:Q114,14,FALSE),0))-(IF(ISNUMBER(VLOOKUP("12.3.1",A4:Q114,14,FALSE)),VLOOKUP("12.3.1",A4:Q114,14,FALSE),0)+IF(ISNUMBER(VLOOKUP("12.4.1",A4:Q114,14,FALSE)),VLOOKUP("12.4.1",A4:Q114,14,FALSE),0))</f>
        <v>0</v>
      </c>
      <c r="O85" s="12">
        <f>(IF(ISNUMBER(VLOOKUP("12.3",A4:Q114,15,FALSE)),VLOOKUP("12.3",A4:Q114,15,FALSE),0)+IF(ISNUMBER(VLOOKUP("12.4",A4:Q114,15,FALSE)),VLOOKUP("12.4",A4:Q114,15,FALSE),0))-(IF(ISNUMBER(VLOOKUP("12.3.1",A4:Q114,15,FALSE)),VLOOKUP("12.3.1",A4:Q114,15,FALSE),0)+IF(ISNUMBER(VLOOKUP("12.4.1",A4:Q114,15,FALSE)),VLOOKUP("12.4.1",A4:Q114,15,FALSE),0))</f>
        <v>0</v>
      </c>
      <c r="P85" s="12">
        <f>(IF(ISNUMBER(VLOOKUP("12.3",A4:Q114,16,FALSE)),VLOOKUP("12.3",A4:Q114,16,FALSE),0)+IF(ISNUMBER(VLOOKUP("12.4",A4:Q114,16,FALSE)),VLOOKUP("12.4",A4:Q114,16,FALSE),0))-(IF(ISNUMBER(VLOOKUP("12.3.1",A4:Q114,16,FALSE)),VLOOKUP("12.3.1",A4:Q114,16,FALSE),0)+IF(ISNUMBER(VLOOKUP("12.4.1",A4:Q114,16,FALSE)),VLOOKUP("12.4.1",A4:Q114,16,FALSE),0))</f>
        <v>0</v>
      </c>
      <c r="Q85" s="12">
        <f>(IF(ISNUMBER(VLOOKUP("12.3",A4:Q114,17,FALSE)),VLOOKUP("12.3",A4:Q114,17,FALSE),0)+IF(ISNUMBER(VLOOKUP("12.4",A4:Q114,17,FALSE)),VLOOKUP("12.4",A4:Q114,17,FALSE),0))-(IF(ISNUMBER(VLOOKUP("12.3.1",A4:Q114,17,FALSE)),VLOOKUP("12.3.1",A4:Q114,17,FALSE),0)+IF(ISNUMBER(VLOOKUP("12.4.1",A4:Q114,17,FALSE)),VLOOKUP("12.4.1",A4:Q114,17,FALSE),0))</f>
        <v>0</v>
      </c>
    </row>
    <row r="86" spans="1:17" s="6" customFormat="1" ht="27" customHeight="1" x14ac:dyDescent="0.2">
      <c r="A86" s="10" t="s">
        <v>174</v>
      </c>
      <c r="B86" s="11" t="s">
        <v>175</v>
      </c>
      <c r="C86" s="12">
        <v>0</v>
      </c>
      <c r="D86" s="12">
        <v>161378</v>
      </c>
      <c r="E86" s="12">
        <v>160461</v>
      </c>
      <c r="F86" s="12">
        <v>178564</v>
      </c>
      <c r="G86" s="12">
        <v>2291112</v>
      </c>
      <c r="H86" s="12">
        <v>770427</v>
      </c>
      <c r="I86" s="12">
        <v>154216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</row>
    <row r="87" spans="1:17" s="6" customFormat="1" ht="52.9" customHeight="1" x14ac:dyDescent="0.2">
      <c r="A87" s="10" t="s">
        <v>176</v>
      </c>
      <c r="B87" s="11" t="s">
        <v>177</v>
      </c>
      <c r="C87" s="12">
        <v>0</v>
      </c>
      <c r="D87" s="12">
        <v>0</v>
      </c>
      <c r="E87" s="12">
        <v>0</v>
      </c>
      <c r="F87" s="12">
        <v>0</v>
      </c>
      <c r="G87" s="12">
        <v>2846757</v>
      </c>
      <c r="H87" s="12">
        <v>3661868</v>
      </c>
      <c r="I87" s="12">
        <v>1252136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</row>
    <row r="88" spans="1:17" s="6" customFormat="1" ht="27" customHeight="1" x14ac:dyDescent="0.2">
      <c r="A88" s="10" t="s">
        <v>178</v>
      </c>
      <c r="B88" s="11" t="s">
        <v>175</v>
      </c>
      <c r="C88" s="12">
        <v>0</v>
      </c>
      <c r="D88" s="12">
        <v>0</v>
      </c>
      <c r="E88" s="12">
        <v>0</v>
      </c>
      <c r="F88" s="12">
        <v>0</v>
      </c>
      <c r="G88" s="12">
        <v>2291112</v>
      </c>
      <c r="H88" s="12">
        <v>770427</v>
      </c>
      <c r="I88" s="12">
        <v>154216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</row>
    <row r="89" spans="1:17" s="6" customFormat="1" ht="81.75" customHeight="1" x14ac:dyDescent="0.2">
      <c r="A89" s="10" t="s">
        <v>179</v>
      </c>
      <c r="B89" s="11" t="s">
        <v>180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</row>
    <row r="90" spans="1:17" s="6" customFormat="1" ht="27" customHeight="1" x14ac:dyDescent="0.2">
      <c r="A90" s="10" t="s">
        <v>181</v>
      </c>
      <c r="B90" s="11" t="s">
        <v>175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</row>
    <row r="91" spans="1:17" s="6" customFormat="1" ht="79.5" customHeight="1" x14ac:dyDescent="0.2">
      <c r="A91" s="10" t="s">
        <v>182</v>
      </c>
      <c r="B91" s="11" t="s">
        <v>183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</row>
    <row r="92" spans="1:17" s="6" customFormat="1" ht="27" customHeight="1" x14ac:dyDescent="0.2">
      <c r="A92" s="10" t="s">
        <v>184</v>
      </c>
      <c r="B92" s="11" t="s">
        <v>175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</row>
    <row r="93" spans="1:17" s="6" customFormat="1" ht="39.950000000000003" customHeight="1" x14ac:dyDescent="0.2">
      <c r="A93" s="7" t="s">
        <v>185</v>
      </c>
      <c r="B93" s="8" t="s">
        <v>186</v>
      </c>
      <c r="C93" s="23" t="s">
        <v>52</v>
      </c>
      <c r="D93" s="23" t="s">
        <v>52</v>
      </c>
      <c r="E93" s="23" t="s">
        <v>52</v>
      </c>
      <c r="F93" s="23" t="s">
        <v>52</v>
      </c>
      <c r="G93" s="23" t="s">
        <v>52</v>
      </c>
      <c r="H93" s="23" t="s">
        <v>52</v>
      </c>
      <c r="I93" s="23" t="s">
        <v>52</v>
      </c>
      <c r="J93" s="23" t="s">
        <v>52</v>
      </c>
      <c r="K93" s="23" t="s">
        <v>52</v>
      </c>
      <c r="L93" s="23" t="s">
        <v>52</v>
      </c>
      <c r="M93" s="23" t="s">
        <v>52</v>
      </c>
      <c r="N93" s="23" t="s">
        <v>52</v>
      </c>
      <c r="O93" s="23" t="s">
        <v>52</v>
      </c>
      <c r="P93" s="23" t="s">
        <v>52</v>
      </c>
      <c r="Q93" s="23" t="s">
        <v>52</v>
      </c>
    </row>
    <row r="94" spans="1:17" s="6" customFormat="1" ht="54" customHeight="1" x14ac:dyDescent="0.2">
      <c r="A94" s="10" t="s">
        <v>187</v>
      </c>
      <c r="B94" s="11" t="s">
        <v>188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</row>
    <row r="95" spans="1:17" s="6" customFormat="1" ht="52.9" customHeight="1" x14ac:dyDescent="0.2">
      <c r="A95" s="10" t="s">
        <v>189</v>
      </c>
      <c r="B95" s="11" t="s">
        <v>190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</row>
    <row r="96" spans="1:17" s="6" customFormat="1" ht="27" customHeight="1" x14ac:dyDescent="0.2">
      <c r="A96" s="10" t="s">
        <v>191</v>
      </c>
      <c r="B96" s="11" t="s">
        <v>192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</row>
    <row r="97" spans="1:17" s="6" customFormat="1" ht="56.25" customHeight="1" x14ac:dyDescent="0.2">
      <c r="A97" s="10" t="s">
        <v>193</v>
      </c>
      <c r="B97" s="11" t="s">
        <v>194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</row>
    <row r="98" spans="1:17" s="6" customFormat="1" ht="54" customHeight="1" x14ac:dyDescent="0.2">
      <c r="A98" s="10" t="s">
        <v>195</v>
      </c>
      <c r="B98" s="11" t="s">
        <v>196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</row>
    <row r="99" spans="1:17" s="6" customFormat="1" ht="54.75" customHeight="1" x14ac:dyDescent="0.2">
      <c r="A99" s="10" t="s">
        <v>197</v>
      </c>
      <c r="B99" s="11" t="s">
        <v>198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</row>
    <row r="100" spans="1:17" s="6" customFormat="1" ht="42" customHeight="1" x14ac:dyDescent="0.2">
      <c r="A100" s="10" t="s">
        <v>199</v>
      </c>
      <c r="B100" s="11" t="s">
        <v>200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</row>
    <row r="101" spans="1:17" s="6" customFormat="1" ht="14.25" customHeight="1" x14ac:dyDescent="0.2">
      <c r="A101" s="7" t="s">
        <v>201</v>
      </c>
      <c r="B101" s="8" t="s">
        <v>202</v>
      </c>
      <c r="C101" s="23" t="s">
        <v>52</v>
      </c>
      <c r="D101" s="23" t="s">
        <v>52</v>
      </c>
      <c r="E101" s="23" t="s">
        <v>52</v>
      </c>
      <c r="F101" s="23" t="s">
        <v>52</v>
      </c>
      <c r="G101" s="23" t="s">
        <v>52</v>
      </c>
      <c r="H101" s="23" t="s">
        <v>52</v>
      </c>
      <c r="I101" s="23" t="s">
        <v>52</v>
      </c>
      <c r="J101" s="23" t="s">
        <v>52</v>
      </c>
      <c r="K101" s="23" t="s">
        <v>52</v>
      </c>
      <c r="L101" s="23" t="s">
        <v>52</v>
      </c>
      <c r="M101" s="23" t="s">
        <v>52</v>
      </c>
      <c r="N101" s="23" t="s">
        <v>52</v>
      </c>
      <c r="O101" s="23" t="s">
        <v>52</v>
      </c>
      <c r="P101" s="23" t="s">
        <v>52</v>
      </c>
      <c r="Q101" s="23" t="s">
        <v>52</v>
      </c>
    </row>
    <row r="102" spans="1:17" s="6" customFormat="1" ht="39.950000000000003" customHeight="1" x14ac:dyDescent="0.2">
      <c r="A102" s="10" t="s">
        <v>203</v>
      </c>
      <c r="B102" s="11" t="s">
        <v>204</v>
      </c>
      <c r="C102" s="12">
        <v>3525853.65</v>
      </c>
      <c r="D102" s="12">
        <v>4551515.2</v>
      </c>
      <c r="E102" s="12">
        <v>5170668</v>
      </c>
      <c r="F102" s="12">
        <v>5169918.82</v>
      </c>
      <c r="G102" s="12">
        <v>5235996</v>
      </c>
      <c r="H102" s="12">
        <v>4537430</v>
      </c>
      <c r="I102" s="12">
        <v>4535345</v>
      </c>
      <c r="J102" s="12">
        <v>3794486</v>
      </c>
      <c r="K102" s="12">
        <v>3721287</v>
      </c>
      <c r="L102" s="12">
        <v>3103703</v>
      </c>
      <c r="M102" s="12">
        <v>827984</v>
      </c>
      <c r="N102" s="12">
        <v>334532</v>
      </c>
      <c r="O102" s="12">
        <v>237324</v>
      </c>
      <c r="P102" s="12">
        <v>177969</v>
      </c>
      <c r="Q102" s="12">
        <v>0</v>
      </c>
    </row>
    <row r="103" spans="1:17" s="6" customFormat="1" ht="27" customHeight="1" x14ac:dyDescent="0.2">
      <c r="A103" s="10" t="s">
        <v>205</v>
      </c>
      <c r="B103" s="11" t="s">
        <v>206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</row>
    <row r="104" spans="1:17" s="6" customFormat="1" ht="14.25" customHeight="1" x14ac:dyDescent="0.2">
      <c r="A104" s="10" t="s">
        <v>207</v>
      </c>
      <c r="B104" s="11" t="s">
        <v>208</v>
      </c>
      <c r="C104" s="12">
        <f>IF(ISNUMBER(VLOOKUP("14.3.1",A4:Q114,3,FALSE)),VLOOKUP("14.3.1",A4:Q114,3,FALSE),0) + IF(ISNUMBER(VLOOKUP("14.3.2",A4:Q114,3,FALSE)),VLOOKUP("14.3.2",A4:Q114,3,FALSE),0) + IF(ISNUMBER(VLOOKUP("14.3.3",A4:Q114,3,FALSE)),VLOOKUP("14.3.3",A4:Q114,3,FALSE),0)</f>
        <v>0</v>
      </c>
      <c r="D104" s="12">
        <f>IF(ISNUMBER(VLOOKUP("14.3.1",A4:Q114,4,FALSE)),VLOOKUP("14.3.1",A4:Q114,4,FALSE),0) + IF(ISNUMBER(VLOOKUP("14.3.2",A4:Q114,4,FALSE)),VLOOKUP("14.3.2",A4:Q114,4,FALSE),0) + IF(ISNUMBER(VLOOKUP("14.3.3",A4:Q114,4,FALSE)),VLOOKUP("14.3.3",A4:Q114,4,FALSE),0)</f>
        <v>0</v>
      </c>
      <c r="E104" s="12">
        <f>IF(ISNUMBER(VLOOKUP("14.3.1",A4:Q114,5,FALSE)),VLOOKUP("14.3.1",A4:Q114,5,FALSE),0) + IF(ISNUMBER(VLOOKUP("14.3.2",A4:Q114,5,FALSE)),VLOOKUP("14.3.2",A4:Q114,5,FALSE),0) + IF(ISNUMBER(VLOOKUP("14.3.3",A4:Q114,5,FALSE)),VLOOKUP("14.3.3",A4:Q114,5,FALSE),0)</f>
        <v>0</v>
      </c>
      <c r="F104" s="12">
        <f>IF(ISNUMBER(VLOOKUP("14.3.1",A4:Q114,6,FALSE)),VLOOKUP("14.3.1",A4:Q114,6,FALSE),0) + IF(ISNUMBER(VLOOKUP("14.3.2",A4:Q114,6,FALSE)),VLOOKUP("14.3.2",A4:Q114,6,FALSE),0) + IF(ISNUMBER(VLOOKUP("14.3.3",A4:Q114,6,FALSE)),VLOOKUP("14.3.3",A4:Q114,6,FALSE),0)</f>
        <v>0</v>
      </c>
      <c r="G104" s="12">
        <f>IF(ISNUMBER(VLOOKUP("14.3.1",A4:Q114,7,FALSE)),VLOOKUP("14.3.1",A4:Q114,7,FALSE),0) + IF(ISNUMBER(VLOOKUP("14.3.2",A4:Q114,7,FALSE)),VLOOKUP("14.3.2",A4:Q114,7,FALSE),0) + IF(ISNUMBER(VLOOKUP("14.3.3",A4:Q114,7,FALSE)),VLOOKUP("14.3.3",A4:Q114,7,FALSE),0)</f>
        <v>0</v>
      </c>
      <c r="H104" s="12">
        <f>IF(ISNUMBER(VLOOKUP("14.3.1",A4:Q114,8,FALSE)),VLOOKUP("14.3.1",A4:Q114,8,FALSE),0) + IF(ISNUMBER(VLOOKUP("14.3.2",A4:Q114,8,FALSE)),VLOOKUP("14.3.2",A4:Q114,8,FALSE),0) + IF(ISNUMBER(VLOOKUP("14.3.3",A4:Q114,8,FALSE)),VLOOKUP("14.3.3",A4:Q114,8,FALSE),0)</f>
        <v>0</v>
      </c>
      <c r="I104" s="12">
        <f>IF(ISNUMBER(VLOOKUP("14.3.1",A4:Q114,9,FALSE)),VLOOKUP("14.3.1",A4:Q114,9,FALSE),0) + IF(ISNUMBER(VLOOKUP("14.3.2",A4:Q114,9,FALSE)),VLOOKUP("14.3.2",A4:Q114,9,FALSE),0) + IF(ISNUMBER(VLOOKUP("14.3.3",A4:Q114,9,FALSE)),VLOOKUP("14.3.3",A4:Q114,9,FALSE),0)</f>
        <v>0</v>
      </c>
      <c r="J104" s="12">
        <f>IF(ISNUMBER(VLOOKUP("14.3.1",A4:Q114,10,FALSE)),VLOOKUP("14.3.1",A4:Q114,10,FALSE),0) + IF(ISNUMBER(VLOOKUP("14.3.2",A4:Q114,10,FALSE)),VLOOKUP("14.3.2",A4:Q114,10,FALSE),0) + IF(ISNUMBER(VLOOKUP("14.3.3",A4:Q114,10,FALSE)),VLOOKUP("14.3.3",A4:Q114,10,FALSE),0)</f>
        <v>0</v>
      </c>
      <c r="K104" s="12">
        <f>IF(ISNUMBER(VLOOKUP("14.3.1",A4:Q114,11,FALSE)),VLOOKUP("14.3.1",A4:Q114,11,FALSE),0) + IF(ISNUMBER(VLOOKUP("14.3.2",A4:Q114,11,FALSE)),VLOOKUP("14.3.2",A4:Q114,11,FALSE),0) + IF(ISNUMBER(VLOOKUP("14.3.3",A4:Q114,11,FALSE)),VLOOKUP("14.3.3",A4:Q114,11,FALSE),0)</f>
        <v>0</v>
      </c>
      <c r="L104" s="12">
        <f>IF(ISNUMBER(VLOOKUP("14.3.1",A4:Q114,12,FALSE)),VLOOKUP("14.3.1",A4:Q114,12,FALSE),0) + IF(ISNUMBER(VLOOKUP("14.3.2",A4:Q114,12,FALSE)),VLOOKUP("14.3.2",A4:Q114,12,FALSE),0) + IF(ISNUMBER(VLOOKUP("14.3.3",A4:Q114,12,FALSE)),VLOOKUP("14.3.3",A4:Q114,12,FALSE),0)</f>
        <v>0</v>
      </c>
      <c r="M104" s="12">
        <f>IF(ISNUMBER(VLOOKUP("14.3.1",A4:Q114,13,FALSE)),VLOOKUP("14.3.1",A4:Q114,13,FALSE),0) + IF(ISNUMBER(VLOOKUP("14.3.2",A4:Q114,13,FALSE)),VLOOKUP("14.3.2",A4:Q114,13,FALSE),0) + IF(ISNUMBER(VLOOKUP("14.3.3",A4:Q114,13,FALSE)),VLOOKUP("14.3.3",A4:Q114,13,FALSE),0)</f>
        <v>0</v>
      </c>
      <c r="N104" s="12">
        <f>IF(ISNUMBER(VLOOKUP("14.3.1",A4:Q114,14,FALSE)),VLOOKUP("14.3.1",A4:Q114,14,FALSE),0) + IF(ISNUMBER(VLOOKUP("14.3.2",A4:Q114,14,FALSE)),VLOOKUP("14.3.2",A4:Q114,14,FALSE),0) + IF(ISNUMBER(VLOOKUP("14.3.3",A4:Q114,14,FALSE)),VLOOKUP("14.3.3",A4:Q114,14,FALSE),0)</f>
        <v>0</v>
      </c>
      <c r="O104" s="12">
        <f>IF(ISNUMBER(VLOOKUP("14.3.1",A4:Q114,15,FALSE)),VLOOKUP("14.3.1",A4:Q114,15,FALSE),0) + IF(ISNUMBER(VLOOKUP("14.3.2",A4:Q114,15,FALSE)),VLOOKUP("14.3.2",A4:Q114,15,FALSE),0) + IF(ISNUMBER(VLOOKUP("14.3.3",A4:Q114,15,FALSE)),VLOOKUP("14.3.3",A4:Q114,15,FALSE),0)</f>
        <v>0</v>
      </c>
      <c r="P104" s="12">
        <f>IF(ISNUMBER(VLOOKUP("14.3.1",A4:Q114,16,FALSE)),VLOOKUP("14.3.1",A4:Q114,16,FALSE),0) + IF(ISNUMBER(VLOOKUP("14.3.2",A4:Q114,16,FALSE)),VLOOKUP("14.3.2",A4:Q114,16,FALSE),0) + IF(ISNUMBER(VLOOKUP("14.3.3",A4:Q114,16,FALSE)),VLOOKUP("14.3.3",A4:Q114,16,FALSE),0)</f>
        <v>0</v>
      </c>
      <c r="Q104" s="12">
        <f>IF(ISNUMBER(VLOOKUP("14.3.1",A4:Q114,17,FALSE)),VLOOKUP("14.3.1",A4:Q114,17,FALSE),0) + IF(ISNUMBER(VLOOKUP("14.3.2",A4:Q114,17,FALSE)),VLOOKUP("14.3.2",A4:Q114,17,FALSE),0) + IF(ISNUMBER(VLOOKUP("14.3.3",A4:Q114,17,FALSE)),VLOOKUP("14.3.3",A4:Q114,17,FALSE),0)</f>
        <v>0</v>
      </c>
    </row>
    <row r="105" spans="1:17" s="6" customFormat="1" ht="27" customHeight="1" x14ac:dyDescent="0.2">
      <c r="A105" s="10" t="s">
        <v>209</v>
      </c>
      <c r="B105" s="11" t="s">
        <v>210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</row>
    <row r="106" spans="1:17" s="6" customFormat="1" ht="27" customHeight="1" x14ac:dyDescent="0.2">
      <c r="A106" s="10" t="s">
        <v>211</v>
      </c>
      <c r="B106" s="11" t="s">
        <v>212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</row>
    <row r="107" spans="1:17" s="6" customFormat="1" ht="14.25" customHeight="1" x14ac:dyDescent="0.2">
      <c r="A107" s="10" t="s">
        <v>213</v>
      </c>
      <c r="B107" s="11" t="s">
        <v>214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</row>
    <row r="108" spans="1:17" s="6" customFormat="1" ht="27" customHeight="1" x14ac:dyDescent="0.2">
      <c r="A108" s="10" t="s">
        <v>215</v>
      </c>
      <c r="B108" s="11" t="s">
        <v>216</v>
      </c>
      <c r="C108" s="12">
        <v>-145523.54999999999</v>
      </c>
      <c r="D108" s="12">
        <v>-149992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</row>
    <row r="109" spans="1:17" s="6" customFormat="1" ht="14.25" customHeight="1" x14ac:dyDescent="0.2">
      <c r="A109" s="7" t="s">
        <v>217</v>
      </c>
      <c r="B109" s="8" t="s">
        <v>218</v>
      </c>
      <c r="C109" s="23" t="s">
        <v>52</v>
      </c>
      <c r="D109" s="23" t="s">
        <v>52</v>
      </c>
      <c r="E109" s="23" t="s">
        <v>52</v>
      </c>
      <c r="F109" s="23" t="s">
        <v>52</v>
      </c>
      <c r="G109" s="23" t="s">
        <v>52</v>
      </c>
      <c r="H109" s="23" t="s">
        <v>52</v>
      </c>
      <c r="I109" s="23" t="s">
        <v>52</v>
      </c>
      <c r="J109" s="23" t="s">
        <v>52</v>
      </c>
      <c r="K109" s="23" t="s">
        <v>52</v>
      </c>
      <c r="L109" s="23" t="s">
        <v>52</v>
      </c>
      <c r="M109" s="23" t="s">
        <v>52</v>
      </c>
      <c r="N109" s="23" t="s">
        <v>52</v>
      </c>
      <c r="O109" s="23" t="s">
        <v>52</v>
      </c>
      <c r="P109" s="23" t="s">
        <v>52</v>
      </c>
      <c r="Q109" s="23" t="s">
        <v>52</v>
      </c>
    </row>
    <row r="110" spans="1:17" s="6" customFormat="1" ht="27" customHeight="1" x14ac:dyDescent="0.2">
      <c r="A110" s="10" t="s">
        <v>219</v>
      </c>
      <c r="B110" s="11" t="s">
        <v>220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</row>
    <row r="111" spans="1:17" s="6" customFormat="1" ht="14.25" customHeight="1" x14ac:dyDescent="0.2">
      <c r="A111" s="10" t="s">
        <v>221</v>
      </c>
      <c r="B111" s="11" t="s">
        <v>222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</row>
    <row r="112" spans="1:17" s="6" customFormat="1" ht="39.950000000000003" customHeight="1" x14ac:dyDescent="0.2">
      <c r="A112" s="10" t="s">
        <v>223</v>
      </c>
      <c r="B112" s="11" t="s">
        <v>224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</row>
    <row r="113" spans="1:17" hidden="1" x14ac:dyDescent="0.25">
      <c r="A113" s="1" t="s">
        <v>225</v>
      </c>
      <c r="B113" s="2" t="s">
        <v>226</v>
      </c>
      <c r="C113" s="3">
        <f>IF(ISNUMBER(VLOOKUP("3",A4:Q114,3,FALSE)),VLOOKUP("3",A4:Q114,3,FALSE),0) + IF(ISNUMBER(VLOOKUP("4",A4:Q114,3,FALSE)),VLOOKUP("4",A4:Q114,3,FALSE),0) - IF(ISNUMBER(VLOOKUP("5",A4:Q114,3,FALSE)),VLOOKUP("5",A4:Q114,3,FALSE),0)</f>
        <v>846080.00000001816</v>
      </c>
      <c r="D113" s="3">
        <f>IF(ISNUMBER(VLOOKUP("3",A4:Q114,4,FALSE)),VLOOKUP("3",A4:Q114,4,FALSE),0) + IF(ISNUMBER(VLOOKUP("4",A4:Q114,4,FALSE)),VLOOKUP("4",A4:Q114,4,FALSE),0) - IF(ISNUMBER(VLOOKUP("5",A4:Q114,4,FALSE)),VLOOKUP("5",A4:Q114,4,FALSE),0)</f>
        <v>2794264.7599999867</v>
      </c>
      <c r="E113" s="3">
        <f>IF(ISNUMBER(VLOOKUP("3",A4:Q114,5,FALSE)),VLOOKUP("3",A4:Q114,5,FALSE),0) + IF(ISNUMBER(VLOOKUP("4",A4:Q114,5,FALSE)),VLOOKUP("4",A4:Q114,5,FALSE),0) - IF(ISNUMBER(VLOOKUP("5",A4:Q114,5,FALSE)),VLOOKUP("5",A4:Q114,5,FALSE),0)</f>
        <v>0</v>
      </c>
      <c r="F113" s="3">
        <f>IF(ISNUMBER(VLOOKUP("3",A4:Q114,6,FALSE)),VLOOKUP("3",A4:Q114,6,FALSE),0) + IF(ISNUMBER(VLOOKUP("4",A4:Q114,6,FALSE)),VLOOKUP("4",A4:Q114,6,FALSE),0) - IF(ISNUMBER(VLOOKUP("5",A4:Q114,6,FALSE)),VLOOKUP("5",A4:Q114,6,FALSE),0)</f>
        <v>6813077.0500000082</v>
      </c>
      <c r="G113" s="3">
        <f>IF(ISNUMBER(VLOOKUP("3",A4:Q114,7,FALSE)),VLOOKUP("3",A4:Q114,7,FALSE),0) + IF(ISNUMBER(VLOOKUP("4",A4:Q114,7,FALSE)),VLOOKUP("4",A4:Q114,7,FALSE),0) - IF(ISNUMBER(VLOOKUP("5",A4:Q114,7,FALSE)),VLOOKUP("5",A4:Q114,7,FALSE),0)</f>
        <v>0</v>
      </c>
      <c r="H113" s="3">
        <f>IF(ISNUMBER(VLOOKUP("3",A4:Q114,8,FALSE)),VLOOKUP("3",A4:Q114,8,FALSE),0) + IF(ISNUMBER(VLOOKUP("4",A4:Q114,8,FALSE)),VLOOKUP("4",A4:Q114,8,FALSE),0) - IF(ISNUMBER(VLOOKUP("5",A4:Q114,8,FALSE)),VLOOKUP("5",A4:Q114,8,FALSE),0)</f>
        <v>0</v>
      </c>
      <c r="I113" s="3">
        <f>IF(ISNUMBER(VLOOKUP("3",A4:Q114,9,FALSE)),VLOOKUP("3",A4:Q114,9,FALSE),0) + IF(ISNUMBER(VLOOKUP("4",A4:Q114,9,FALSE)),VLOOKUP("4",A4:Q114,9,FALSE),0) - IF(ISNUMBER(VLOOKUP("5",A4:Q114,9,FALSE)),VLOOKUP("5",A4:Q114,9,FALSE),0)</f>
        <v>0</v>
      </c>
      <c r="J113" s="3">
        <f>IF(ISNUMBER(VLOOKUP("3",A4:Q114,10,FALSE)),VLOOKUP("3",A4:Q114,10,FALSE),0) + IF(ISNUMBER(VLOOKUP("4",A4:Q114,10,FALSE)),VLOOKUP("4",A4:Q114,10,FALSE),0) - IF(ISNUMBER(VLOOKUP("5",A4:Q114,10,FALSE)),VLOOKUP("5",A4:Q114,10,FALSE),0)</f>
        <v>0</v>
      </c>
      <c r="K113" s="3">
        <f>IF(ISNUMBER(VLOOKUP("3",A4:Q114,11,FALSE)),VLOOKUP("3",A4:Q114,11,FALSE),0) + IF(ISNUMBER(VLOOKUP("4",A4:Q114,11,FALSE)),VLOOKUP("4",A4:Q114,11,FALSE),0) - IF(ISNUMBER(VLOOKUP("5",A4:Q114,11,FALSE)),VLOOKUP("5",A4:Q114,11,FALSE),0)</f>
        <v>0</v>
      </c>
      <c r="L113" s="3">
        <f>IF(ISNUMBER(VLOOKUP("3",A4:Q114,12,FALSE)),VLOOKUP("3",A4:Q114,12,FALSE),0) + IF(ISNUMBER(VLOOKUP("4",A4:Q114,12,FALSE)),VLOOKUP("4",A4:Q114,12,FALSE),0) - IF(ISNUMBER(VLOOKUP("5",A4:Q114,12,FALSE)),VLOOKUP("5",A4:Q114,12,FALSE),0)</f>
        <v>0</v>
      </c>
      <c r="M113" s="3">
        <f>IF(ISNUMBER(VLOOKUP("3",A4:Q114,13,FALSE)),VLOOKUP("3",A4:Q114,13,FALSE),0) + IF(ISNUMBER(VLOOKUP("4",A4:Q114,13,FALSE)),VLOOKUP("4",A4:Q114,13,FALSE),0) - IF(ISNUMBER(VLOOKUP("5",A4:Q114,13,FALSE)),VLOOKUP("5",A4:Q114,13,FALSE),0)</f>
        <v>0</v>
      </c>
      <c r="N113" s="3">
        <f>IF(ISNUMBER(VLOOKUP("3",A4:Q114,14,FALSE)),VLOOKUP("3",A4:Q114,14,FALSE),0) + IF(ISNUMBER(VLOOKUP("4",A4:Q114,14,FALSE)),VLOOKUP("4",A4:Q114,14,FALSE),0) - IF(ISNUMBER(VLOOKUP("5",A4:Q114,14,FALSE)),VLOOKUP("5",A4:Q114,14,FALSE),0)</f>
        <v>0</v>
      </c>
      <c r="O113" s="3">
        <f>IF(ISNUMBER(VLOOKUP("3",A4:Q114,15,FALSE)),VLOOKUP("3",A4:Q114,15,FALSE),0) + IF(ISNUMBER(VLOOKUP("4",A4:Q114,15,FALSE)),VLOOKUP("4",A4:Q114,15,FALSE),0) - IF(ISNUMBER(VLOOKUP("5",A4:Q114,15,FALSE)),VLOOKUP("5",A4:Q114,15,FALSE),0)</f>
        <v>0</v>
      </c>
      <c r="P113" s="3">
        <f>IF(ISNUMBER(VLOOKUP("3",A4:Q114,16,FALSE)),VLOOKUP("3",A4:Q114,16,FALSE),0) + IF(ISNUMBER(VLOOKUP("4",A4:Q114,16,FALSE)),VLOOKUP("4",A4:Q114,16,FALSE),0) - IF(ISNUMBER(VLOOKUP("5",A4:Q114,16,FALSE)),VLOOKUP("5",A4:Q114,16,FALSE),0)</f>
        <v>0</v>
      </c>
      <c r="Q113" s="3">
        <f>IF(ISNUMBER(VLOOKUP("3",A4:Q114,17,FALSE)),VLOOKUP("3",A4:Q114,17,FALSE),0) + IF(ISNUMBER(VLOOKUP("4",A4:Q114,17,FALSE)),VLOOKUP("4",A4:Q114,17,FALSE),0) - IF(ISNUMBER(VLOOKUP("5",A4:Q114,17,FALSE)),VLOOKUP("5",A4:Q114,17,FALSE),0)</f>
        <v>0</v>
      </c>
    </row>
  </sheetData>
  <mergeCells count="7">
    <mergeCell ref="C101:Q101"/>
    <mergeCell ref="C109:Q109"/>
    <mergeCell ref="C47:Q47"/>
    <mergeCell ref="C50:Q50"/>
    <mergeCell ref="C62:Q62"/>
    <mergeCell ref="C72:Q72"/>
    <mergeCell ref="C93:Q93"/>
  </mergeCells>
  <conditionalFormatting sqref="B58:F58">
    <cfRule type="beginsWith" dxfId="7" priority="1" operator="beginsWith" text="Tak">
      <formula>LEFT(B58,LEN("Tak"))="Tak"</formula>
    </cfRule>
    <cfRule type="beginsWith" dxfId="6" priority="2" operator="beginsWith" text="Nie">
      <formula>LEFT(B58,LEN("Nie"))="Nie"</formula>
    </cfRule>
  </conditionalFormatting>
  <conditionalFormatting sqref="B59:F59">
    <cfRule type="beginsWith" dxfId="5" priority="3" operator="beginsWith" text="Tak">
      <formula>LEFT(B59,LEN("Tak"))="Tak"</formula>
    </cfRule>
    <cfRule type="beginsWith" dxfId="4" priority="4" operator="beginsWith" text="Nie">
      <formula>LEFT(B59,LEN("Nie"))="Nie"</formula>
    </cfRule>
  </conditionalFormatting>
  <conditionalFormatting sqref="B60:Q60">
    <cfRule type="beginsWith" dxfId="3" priority="5" operator="beginsWith" text="Tak">
      <formula>LEFT(B60,LEN("Tak"))="Tak"</formula>
    </cfRule>
    <cfRule type="beginsWith" dxfId="2" priority="6" operator="beginsWith" text="Nie">
      <formula>LEFT(B60,LEN("Nie"))="Nie"</formula>
    </cfRule>
  </conditionalFormatting>
  <conditionalFormatting sqref="B61:Q61">
    <cfRule type="beginsWith" dxfId="1" priority="7" operator="beginsWith" text="Tak">
      <formula>LEFT(B61,LEN("Tak"))="Tak"</formula>
    </cfRule>
    <cfRule type="beginsWith" dxfId="0" priority="8" operator="beginsWith" text="Nie">
      <formula>LEFT(B61,LEN("Nie"))="Nie"</formula>
    </cfRule>
  </conditionalFormatting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Anna Podżorska</cp:lastModifiedBy>
  <cp:lastPrinted>2017-09-27T11:16:58Z</cp:lastPrinted>
  <dcterms:created xsi:type="dcterms:W3CDTF">2017-10-05T13:17:21Z</dcterms:created>
  <dcterms:modified xsi:type="dcterms:W3CDTF">2017-10-05T13:17:21Z</dcterms:modified>
</cp:coreProperties>
</file>