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Wieloletnia Prognoza Finansowa" sheetId="1" r:id="rId1"/>
    <sheet name="Wykaz przesięwzięć do WPF" sheetId="2" r:id="rId2"/>
  </sheets>
  <definedNames>
    <definedName name="_xlnm.Print_Area" localSheetId="0">'Wieloletnia Prognoza Finansowa'!$A$2:$V$62</definedName>
    <definedName name="_xlnm.Print_Area" localSheetId="1">'Wykaz przesięwzięć do WPF'!$A$1:$X$47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<sst xmlns="http://schemas.openxmlformats.org/spreadsheetml/2006/main" count="190" uniqueCount="158">
  <si>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</si>
  <si>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</si>
  <si>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</si>
  <si>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</si>
  <si>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</si>
  <si>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</si>
  <si>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</si>
  <si>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</si>
  <si>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</si>
  <si>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</si>
  <si>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</si>
  <si>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</si>
  <si>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</si>
  <si>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</si>
  <si>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</si>
  <si>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</si>
  <si>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</si>
  <si>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</si>
  <si>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</si>
  <si>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</si>
  <si>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</si>
  <si>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</si>
  <si>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Projekt systemowy pn. "Mam zawód - mam pracę w regionie"</t>
  </si>
  <si>
    <t>Starostwo Powiatowe</t>
  </si>
  <si>
    <t>PUP</t>
  </si>
  <si>
    <t>Przebudowa drogi powiatowej nr 2636 S w Zabłociu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</si>
  <si>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</si>
  <si>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</si>
  <si>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 Zimowe utrzymanie dróg powiatowych i chodników w granicach Gminy Skoczów</t>
  </si>
  <si>
    <t xml:space="preserve"> Zimowe utrzymanie dróg powiatowych i chodników w granicach Gminy Brenna</t>
  </si>
  <si>
    <t>Przebudowa skrzyżowania drogi wojewódzkiej nr 941 z ul. Skoczowską i ul. Wiejską w Ustroniu Nierodzimiu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</si>
  <si>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</si>
  <si>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</si>
  <si>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</si>
  <si>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Dostawa druków do  rejestracji pojazdów i wydawania praw jazdy (umowa z PWPW)</t>
  </si>
  <si>
    <t>Realizacja zadań z zakresu usług teleinformatycznych</t>
  </si>
  <si>
    <t>Realizacja zadań z zakresu usług zdrowotnych</t>
  </si>
  <si>
    <t xml:space="preserve">Realizacja zadań z zakresu monitoringu </t>
  </si>
  <si>
    <t>Dostawa wody</t>
  </si>
  <si>
    <t>Realizacja zadań z zakresu konserwacji urządzeń technicznych i sprzętu BHP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</si>
  <si>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</si>
  <si>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</si>
  <si>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</si>
  <si>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</si>
  <si>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</si>
  <si>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</si>
  <si>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</si>
  <si>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</si>
  <si>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</si>
  <si>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</si>
  <si>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</si>
  <si>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</si>
  <si>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</si>
  <si>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</si>
  <si>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</si>
  <si>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</si>
  <si>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</si>
  <si>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</si>
  <si>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</si>
  <si>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</si>
  <si>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</si>
  <si>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</si>
  <si>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</si>
  <si>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</si>
  <si>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</si>
  <si>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</si>
  <si>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</si>
  <si>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</si>
  <si>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</si>
  <si>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</si>
  <si>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</si>
  <si>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</si>
  <si>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</si>
  <si>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</si>
  <si>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</si>
  <si>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</si>
  <si>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</si>
  <si>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</si>
  <si>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</si>
  <si>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</si>
  <si>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</si>
  <si>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</si>
  <si>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</si>
  <si>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</si>
  <si>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</si>
  <si>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</si>
  <si>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</si>
  <si>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</si>
  <si>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</si>
  <si>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</si>
  <si>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</si>
  <si>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</si>
  <si>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</si>
  <si>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</si>
  <si>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</si>
  <si>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</si>
  <si>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</si>
  <si>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</si>
  <si>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</si>
  <si>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</si>
  <si>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</si>
  <si>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</si>
  <si>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</si>
  <si>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</si>
  <si>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</si>
  <si>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</si>
  <si>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</si>
  <si>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</si>
  <si>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</si>
  <si>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</si>
  <si>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</si>
  <si>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</si>
  <si>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</si>
  <si>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</si>
  <si>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</si>
  <si>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(10+20)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</si>
  <si>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</si>
  <si>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</si>
  <si>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</si>
  <si>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</si>
  <si>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</si>
  <si>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</si>
  <si>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</si>
  <si>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</si>
  <si>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</si>
  <si>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</si>
  <si>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</si>
  <si>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</si>
  <si>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</si>
  <si>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t>w tym wkład własny</t>
  </si>
  <si>
    <t>Projekt unijny pn.: "Nowa jakość - nowe możliwości III"</t>
  </si>
  <si>
    <t>Rozszerzenie ilości usług świadczonych drogą elektroniczną wraz z rozbudową Infrastruktury Informacji Przestrzennej Powiatu Cieszyńskiego</t>
  </si>
  <si>
    <t xml:space="preserve">Termomodernizacja PDPS w Pogórzu filia "Bursztyn" w Kończycach Małych </t>
  </si>
  <si>
    <t>Modernizacja ewidencji gruntów i budynków gmin Chybie i Dębowiec</t>
  </si>
  <si>
    <t>11a</t>
  </si>
  <si>
    <t>Przychody (kredyty, pożyczki, emisje obligacji), w tym</t>
  </si>
  <si>
    <t xml:space="preserve"> na pokrycie deficytu budzetu</t>
  </si>
  <si>
    <r>
      <t xml:space="preserve">Planowana łączna kwota spłaty zobowiązań do dochodów ogółem - max 15% z art. </t>
    </r>
    <r>
      <rPr>
        <sz val="10"/>
        <rFont val="Arial"/>
        <family val="2"/>
      </rPr>
      <t>169 sufp (bez wyłączeń)</t>
    </r>
  </si>
  <si>
    <r>
      <t xml:space="preserve">Planowana łączna kwota spłaty zobowiązań do dochodów ogółem - max 15% z art. </t>
    </r>
    <r>
      <rPr>
        <sz val="10"/>
        <rFont val="Arial"/>
        <family val="2"/>
      </rPr>
      <t>169 sufp (po uwzglednieniu  wyłączeń)</t>
    </r>
  </si>
  <si>
    <t>18a</t>
  </si>
  <si>
    <t>Termomodernizacja PDPS "Feniks" w Skoczowie wraz z instalacja solarną</t>
  </si>
  <si>
    <t>Poręczenie pozyczki NFOŚiGW dla ZZOZ-u dla zadania "Termomodernizacja pawilonów I, III, VII Zespołu Zakładów Opieki Zdrowotnej w Cieszynie"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</si>
  <si>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</si>
  <si>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</si>
  <si>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</si>
  <si>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</si>
  <si>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</si>
  <si>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</si>
  <si>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</si>
  <si>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2027</t>
  </si>
  <si>
    <t>Projekt „Edukacja w regionach, które nie mają dostępu do infrastruktury i miejsc pracy o wysokich kwalifikacjach, w centrum uwagi strategii UE 2020" realizowany w ramach programu "Uczenie się przez całe życie"</t>
  </si>
  <si>
    <t>Projekt "Zyskaj Pracę"</t>
  </si>
  <si>
    <t>Prognoza 2023</t>
  </si>
  <si>
    <t>Prognoza 2024</t>
  </si>
  <si>
    <t>Prognoza 2025</t>
  </si>
  <si>
    <t>Prognoza 2026</t>
  </si>
  <si>
    <t>Prognoza 2027</t>
  </si>
  <si>
    <t>Wykaz przedsięwzięć realizowanych w latach 2012 - 2027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</si>
</sst>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3" fillId="14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2" fillId="0" borderId="10" xfId="51" applyBorder="1" applyAlignment="1">
      <alignment vertical="top"/>
      <protection/>
    </xf>
    <xf numFmtId="0" fontId="12" fillId="0" borderId="11" xfId="51" applyBorder="1" applyAlignment="1">
      <alignment vertical="top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vertical="center"/>
      <protection/>
    </xf>
    <xf numFmtId="0" fontId="20" fillId="0" borderId="11" xfId="51" applyFont="1" applyBorder="1" applyAlignment="1">
      <alignment vertical="top"/>
      <protection/>
    </xf>
    <xf numFmtId="0" fontId="20" fillId="18" borderId="12" xfId="51" applyFont="1" applyFill="1" applyBorder="1" applyAlignment="1">
      <alignment vertical="top"/>
      <protection/>
    </xf>
    <xf numFmtId="0" fontId="20" fillId="18" borderId="13" xfId="51" applyFont="1" applyFill="1" applyBorder="1" applyAlignment="1">
      <alignment vertical="top"/>
      <protection/>
    </xf>
    <xf numFmtId="0" fontId="20" fillId="18" borderId="11" xfId="51" applyFont="1" applyFill="1" applyBorder="1" applyAlignment="1">
      <alignment vertical="top"/>
      <protection/>
    </xf>
    <xf numFmtId="0" fontId="20" fillId="2" borderId="13" xfId="51" applyFont="1" applyFill="1" applyBorder="1" applyAlignment="1">
      <alignment vertical="top"/>
      <protection/>
    </xf>
    <xf numFmtId="0" fontId="20" fillId="2" borderId="11" xfId="51" applyFont="1" applyFill="1" applyBorder="1" applyAlignment="1">
      <alignment vertical="top"/>
      <protection/>
    </xf>
    <xf numFmtId="0" fontId="22" fillId="0" borderId="11" xfId="51" applyFont="1" applyBorder="1" applyAlignment="1">
      <alignment vertical="top"/>
      <protection/>
    </xf>
    <xf numFmtId="0" fontId="23" fillId="18" borderId="13" xfId="51" applyFont="1" applyFill="1" applyBorder="1" applyAlignment="1">
      <alignment vertical="top"/>
      <protection/>
    </xf>
    <xf numFmtId="0" fontId="23" fillId="18" borderId="11" xfId="51" applyFont="1" applyFill="1" applyBorder="1" applyAlignment="1">
      <alignment vertical="top"/>
      <protection/>
    </xf>
    <xf numFmtId="0" fontId="23" fillId="2" borderId="13" xfId="51" applyFont="1" applyFill="1" applyBorder="1" applyAlignment="1">
      <alignment vertical="top"/>
      <protection/>
    </xf>
    <xf numFmtId="0" fontId="23" fillId="2" borderId="11" xfId="51" applyFont="1" applyFill="1" applyBorder="1" applyAlignment="1">
      <alignment vertical="top"/>
      <protection/>
    </xf>
    <xf numFmtId="0" fontId="25" fillId="18" borderId="13" xfId="51" applyFont="1" applyFill="1" applyBorder="1" applyAlignment="1">
      <alignment vertical="top"/>
      <protection/>
    </xf>
    <xf numFmtId="0" fontId="21" fillId="18" borderId="11" xfId="51" applyFont="1" applyFill="1" applyBorder="1" applyAlignment="1">
      <alignment vertical="top"/>
      <protection/>
    </xf>
    <xf numFmtId="3" fontId="21" fillId="18" borderId="11" xfId="51" applyNumberFormat="1" applyFont="1" applyFill="1" applyBorder="1" applyAlignment="1">
      <alignment vertical="top"/>
      <protection/>
    </xf>
    <xf numFmtId="0" fontId="21" fillId="0" borderId="11" xfId="51" applyFont="1" applyFill="1" applyBorder="1" applyAlignment="1">
      <alignment vertical="top"/>
      <protection/>
    </xf>
    <xf numFmtId="3" fontId="21" fillId="0" borderId="11" xfId="51" applyNumberFormat="1" applyFont="1" applyFill="1" applyBorder="1" applyAlignment="1">
      <alignment vertical="top"/>
      <protection/>
    </xf>
    <xf numFmtId="0" fontId="21" fillId="2" borderId="11" xfId="51" applyFont="1" applyFill="1" applyBorder="1" applyAlignment="1">
      <alignment vertical="top" wrapText="1"/>
      <protection/>
    </xf>
    <xf numFmtId="0" fontId="21" fillId="2" borderId="11" xfId="51" applyFont="1" applyFill="1" applyBorder="1" applyAlignment="1">
      <alignment vertical="top"/>
      <protection/>
    </xf>
    <xf numFmtId="0" fontId="24" fillId="0" borderId="11" xfId="51" applyFont="1" applyFill="1" applyBorder="1" applyAlignment="1">
      <alignment vertical="top"/>
      <protection/>
    </xf>
    <xf numFmtId="0" fontId="12" fillId="15" borderId="11" xfId="51" applyFill="1" applyBorder="1" applyAlignment="1">
      <alignment vertical="top"/>
      <protection/>
    </xf>
    <xf numFmtId="0" fontId="24" fillId="0" borderId="11" xfId="51" applyFont="1" applyBorder="1" applyAlignment="1">
      <alignment horizontal="left" vertical="top" wrapText="1"/>
      <protection/>
    </xf>
    <xf numFmtId="0" fontId="24" fillId="0" borderId="11" xfId="51" applyFont="1" applyBorder="1" applyAlignment="1">
      <alignment vertical="top"/>
      <protection/>
    </xf>
    <xf numFmtId="0" fontId="25" fillId="18" borderId="11" xfId="51" applyFont="1" applyFill="1" applyBorder="1" applyAlignment="1">
      <alignment vertical="top"/>
      <protection/>
    </xf>
    <xf numFmtId="0" fontId="25" fillId="2" borderId="11" xfId="51" applyFont="1" applyFill="1" applyBorder="1" applyAlignment="1">
      <alignment vertical="top"/>
      <protection/>
    </xf>
    <xf numFmtId="0" fontId="24" fillId="0" borderId="13" xfId="51" applyFont="1" applyBorder="1" applyAlignment="1">
      <alignment vertical="top" wrapText="1"/>
      <protection/>
    </xf>
    <xf numFmtId="3" fontId="21" fillId="2" borderId="11" xfId="51" applyNumberFormat="1" applyFont="1" applyFill="1" applyBorder="1" applyAlignment="1">
      <alignment vertical="top"/>
      <protection/>
    </xf>
    <xf numFmtId="0" fontId="0" fillId="0" borderId="11" xfId="51" applyFont="1" applyFill="1" applyBorder="1" applyAlignment="1">
      <alignment vertical="top"/>
      <protection/>
    </xf>
    <xf numFmtId="0" fontId="26" fillId="0" borderId="11" xfId="51" applyFont="1" applyBorder="1" applyAlignment="1">
      <alignment vertical="top"/>
      <protection/>
    </xf>
    <xf numFmtId="0" fontId="22" fillId="18" borderId="11" xfId="51" applyFont="1" applyFill="1" applyBorder="1" applyAlignment="1">
      <alignment vertical="top"/>
      <protection/>
    </xf>
    <xf numFmtId="0" fontId="26" fillId="18" borderId="11" xfId="51" applyFont="1" applyFill="1" applyBorder="1" applyAlignment="1">
      <alignment vertical="top"/>
      <protection/>
    </xf>
    <xf numFmtId="0" fontId="22" fillId="2" borderId="11" xfId="51" applyFont="1" applyFill="1" applyBorder="1" applyAlignment="1">
      <alignment vertical="top"/>
      <protection/>
    </xf>
    <xf numFmtId="3" fontId="22" fillId="2" borderId="11" xfId="51" applyNumberFormat="1" applyFont="1" applyFill="1" applyBorder="1" applyAlignment="1">
      <alignment vertical="top"/>
      <protection/>
    </xf>
    <xf numFmtId="0" fontId="26" fillId="2" borderId="11" xfId="51" applyFont="1" applyFill="1" applyBorder="1" applyAlignment="1">
      <alignment vertical="top"/>
      <protection/>
    </xf>
    <xf numFmtId="0" fontId="22" fillId="18" borderId="13" xfId="51" applyFont="1" applyFill="1" applyBorder="1" applyAlignment="1">
      <alignment vertical="top"/>
      <protection/>
    </xf>
    <xf numFmtId="3" fontId="26" fillId="18" borderId="11" xfId="51" applyNumberFormat="1" applyFont="1" applyFill="1" applyBorder="1" applyAlignment="1">
      <alignment vertical="top"/>
      <protection/>
    </xf>
    <xf numFmtId="3" fontId="12" fillId="0" borderId="11" xfId="51" applyNumberFormat="1" applyBorder="1" applyAlignment="1">
      <alignment vertical="top"/>
      <protection/>
    </xf>
    <xf numFmtId="3" fontId="12" fillId="14" borderId="11" xfId="51" applyNumberFormat="1" applyFill="1" applyBorder="1" applyAlignment="1">
      <alignment vertical="top"/>
      <protection/>
    </xf>
    <xf numFmtId="0" fontId="12" fillId="14" borderId="11" xfId="51" applyFill="1" applyBorder="1" applyAlignment="1">
      <alignment vertical="top"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53" applyNumberFormat="1" applyBorder="1" applyAlignment="1">
      <alignment/>
    </xf>
    <xf numFmtId="2" fontId="0" fillId="0" borderId="11" xfId="53" applyNumberFormat="1" applyFont="1" applyFill="1" applyBorder="1" applyAlignment="1">
      <alignment/>
    </xf>
    <xf numFmtId="0" fontId="0" fillId="15" borderId="11" xfId="0" applyFill="1" applyBorder="1" applyAlignment="1">
      <alignment horizontal="center" vertical="top"/>
    </xf>
    <xf numFmtId="0" fontId="0" fillId="15" borderId="11" xfId="0" applyFill="1" applyBorder="1" applyAlignment="1">
      <alignment vertical="top" wrapText="1"/>
    </xf>
    <xf numFmtId="4" fontId="0" fillId="15" borderId="11" xfId="53" applyNumberFormat="1" applyFill="1" applyBorder="1" applyAlignment="1">
      <alignment/>
    </xf>
    <xf numFmtId="3" fontId="0" fillId="0" borderId="11" xfId="53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1" xfId="53" applyNumberFormat="1" applyFill="1" applyBorder="1" applyAlignment="1">
      <alignment/>
    </xf>
    <xf numFmtId="2" fontId="0" fillId="18" borderId="11" xfId="53" applyNumberFormat="1" applyFont="1" applyFill="1" applyBorder="1" applyAlignment="1">
      <alignment/>
    </xf>
    <xf numFmtId="3" fontId="0" fillId="18" borderId="11" xfId="53" applyNumberFormat="1" applyFont="1" applyFill="1" applyBorder="1" applyAlignment="1">
      <alignment/>
    </xf>
    <xf numFmtId="4" fontId="0" fillId="18" borderId="11" xfId="53" applyNumberForma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1" xfId="53" applyNumberFormat="1" applyFill="1" applyBorder="1" applyAlignment="1">
      <alignment/>
    </xf>
    <xf numFmtId="10" fontId="0" fillId="0" borderId="11" xfId="53" applyNumberFormat="1" applyBorder="1" applyAlignment="1">
      <alignment/>
    </xf>
    <xf numFmtId="10" fontId="0" fillId="0" borderId="11" xfId="53" applyNumberFormat="1" applyFont="1" applyFill="1" applyBorder="1" applyAlignment="1">
      <alignment/>
    </xf>
    <xf numFmtId="10" fontId="0" fillId="18" borderId="11" xfId="53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7" fillId="0" borderId="19" xfId="51" applyFont="1" applyFill="1" applyBorder="1" applyAlignment="1">
      <alignment vertical="top" wrapText="1"/>
      <protection/>
    </xf>
    <xf numFmtId="0" fontId="27" fillId="0" borderId="19" xfId="51" applyFont="1" applyFill="1" applyBorder="1" applyAlignment="1">
      <alignment vertical="top"/>
      <protection/>
    </xf>
    <xf numFmtId="3" fontId="27" fillId="0" borderId="19" xfId="51" applyNumberFormat="1" applyFont="1" applyFill="1" applyBorder="1" applyAlignment="1">
      <alignment vertical="top"/>
      <protection/>
    </xf>
    <xf numFmtId="3" fontId="25" fillId="0" borderId="19" xfId="51" applyNumberFormat="1" applyFont="1" applyFill="1" applyBorder="1" applyAlignment="1">
      <alignment vertical="top"/>
      <protection/>
    </xf>
    <xf numFmtId="3" fontId="21" fillId="0" borderId="16" xfId="51" applyNumberFormat="1" applyFont="1" applyFill="1" applyBorder="1" applyAlignment="1">
      <alignment vertical="top"/>
      <protection/>
    </xf>
    <xf numFmtId="0" fontId="24" fillId="0" borderId="19" xfId="51" applyFont="1" applyFill="1" applyBorder="1" applyAlignment="1">
      <alignment vertical="top" wrapText="1"/>
      <protection/>
    </xf>
    <xf numFmtId="3" fontId="21" fillId="0" borderId="19" xfId="51" applyNumberFormat="1" applyFont="1" applyFill="1" applyBorder="1" applyAlignment="1">
      <alignment vertical="top"/>
      <protection/>
    </xf>
    <xf numFmtId="0" fontId="28" fillId="0" borderId="16" xfId="51" applyFont="1" applyFill="1" applyBorder="1" applyAlignment="1">
      <alignment vertical="top" wrapText="1"/>
      <protection/>
    </xf>
    <xf numFmtId="0" fontId="28" fillId="0" borderId="11" xfId="51" applyFont="1" applyFill="1" applyBorder="1" applyAlignment="1">
      <alignment vertical="top" wrapText="1"/>
      <protection/>
    </xf>
    <xf numFmtId="0" fontId="29" fillId="0" borderId="11" xfId="51" applyFont="1" applyFill="1" applyBorder="1" applyAlignment="1">
      <alignment vertical="top" wrapText="1"/>
      <protection/>
    </xf>
    <xf numFmtId="0" fontId="28" fillId="0" borderId="11" xfId="51" applyFont="1" applyBorder="1" applyAlignment="1">
      <alignment vertical="top" wrapText="1"/>
      <protection/>
    </xf>
    <xf numFmtId="0" fontId="29" fillId="0" borderId="16" xfId="51" applyFont="1" applyFill="1" applyBorder="1" applyAlignment="1">
      <alignment vertical="top"/>
      <protection/>
    </xf>
    <xf numFmtId="0" fontId="29" fillId="0" borderId="19" xfId="51" applyFont="1" applyFill="1" applyBorder="1" applyAlignment="1">
      <alignment vertical="top"/>
      <protection/>
    </xf>
    <xf numFmtId="0" fontId="29" fillId="0" borderId="11" xfId="51" applyFont="1" applyFill="1" applyBorder="1" applyAlignment="1">
      <alignment vertical="top"/>
      <protection/>
    </xf>
    <xf numFmtId="0" fontId="28" fillId="0" borderId="11" xfId="51" applyFont="1" applyFill="1" applyBorder="1" applyAlignment="1">
      <alignment vertical="top"/>
      <protection/>
    </xf>
    <xf numFmtId="0" fontId="28" fillId="0" borderId="16" xfId="51" applyFont="1" applyFill="1" applyBorder="1" applyAlignment="1">
      <alignment vertical="top"/>
      <protection/>
    </xf>
    <xf numFmtId="0" fontId="28" fillId="0" borderId="11" xfId="51" applyFont="1" applyBorder="1" applyAlignment="1">
      <alignment vertical="top"/>
      <protection/>
    </xf>
    <xf numFmtId="3" fontId="31" fillId="2" borderId="11" xfId="51" applyNumberFormat="1" applyFont="1" applyFill="1" applyBorder="1" applyAlignment="1">
      <alignment vertical="top"/>
      <protection/>
    </xf>
    <xf numFmtId="3" fontId="28" fillId="0" borderId="19" xfId="51" applyNumberFormat="1" applyFont="1" applyBorder="1" applyAlignment="1">
      <alignment vertical="top"/>
      <protection/>
    </xf>
    <xf numFmtId="3" fontId="28" fillId="0" borderId="11" xfId="51" applyNumberFormat="1" applyFont="1" applyFill="1" applyBorder="1" applyAlignment="1">
      <alignment vertical="top"/>
      <protection/>
    </xf>
    <xf numFmtId="3" fontId="28" fillId="0" borderId="19" xfId="51" applyNumberFormat="1" applyFont="1" applyFill="1" applyBorder="1" applyAlignment="1">
      <alignment vertical="top"/>
      <protection/>
    </xf>
    <xf numFmtId="3" fontId="29" fillId="0" borderId="19" xfId="51" applyNumberFormat="1" applyFont="1" applyFill="1" applyBorder="1" applyAlignment="1">
      <alignment vertical="top"/>
      <protection/>
    </xf>
    <xf numFmtId="3" fontId="28" fillId="14" borderId="19" xfId="51" applyNumberFormat="1" applyFont="1" applyFill="1" applyBorder="1" applyAlignment="1">
      <alignment vertical="top"/>
      <protection/>
    </xf>
    <xf numFmtId="3" fontId="30" fillId="2" borderId="11" xfId="51" applyNumberFormat="1" applyFont="1" applyFill="1" applyBorder="1" applyAlignment="1">
      <alignment vertical="top"/>
      <protection/>
    </xf>
    <xf numFmtId="0" fontId="30" fillId="18" borderId="12" xfId="51" applyFont="1" applyFill="1" applyBorder="1" applyAlignment="1">
      <alignment vertical="top"/>
      <protection/>
    </xf>
    <xf numFmtId="0" fontId="30" fillId="2" borderId="12" xfId="51" applyFont="1" applyFill="1" applyBorder="1" applyAlignment="1">
      <alignment vertical="top"/>
      <protection/>
    </xf>
    <xf numFmtId="0" fontId="33" fillId="18" borderId="12" xfId="51" applyFont="1" applyFill="1" applyBorder="1" applyAlignment="1">
      <alignment vertical="top"/>
      <protection/>
    </xf>
    <xf numFmtId="0" fontId="33" fillId="2" borderId="12" xfId="51" applyFont="1" applyFill="1" applyBorder="1" applyAlignment="1">
      <alignment vertical="top"/>
      <protection/>
    </xf>
    <xf numFmtId="3" fontId="36" fillId="0" borderId="16" xfId="51" applyNumberFormat="1" applyFont="1" applyBorder="1" applyAlignment="1">
      <alignment vertical="top"/>
      <protection/>
    </xf>
    <xf numFmtId="3" fontId="32" fillId="0" borderId="16" xfId="51" applyNumberFormat="1" applyFont="1" applyFill="1" applyBorder="1" applyAlignment="1">
      <alignment vertical="top"/>
      <protection/>
    </xf>
    <xf numFmtId="3" fontId="35" fillId="0" borderId="16" xfId="51" applyNumberFormat="1" applyFont="1" applyFill="1" applyBorder="1" applyAlignment="1">
      <alignment vertical="top"/>
      <protection/>
    </xf>
    <xf numFmtId="3" fontId="36" fillId="0" borderId="11" xfId="51" applyNumberFormat="1" applyFont="1" applyBorder="1" applyAlignment="1">
      <alignment vertical="top"/>
      <protection/>
    </xf>
    <xf numFmtId="3" fontId="32" fillId="0" borderId="11" xfId="51" applyNumberFormat="1" applyFont="1" applyFill="1" applyBorder="1" applyAlignment="1">
      <alignment vertical="top"/>
      <protection/>
    </xf>
    <xf numFmtId="3" fontId="35" fillId="0" borderId="11" xfId="51" applyNumberFormat="1" applyFont="1" applyFill="1" applyBorder="1" applyAlignment="1">
      <alignment vertical="top"/>
      <protection/>
    </xf>
    <xf numFmtId="3" fontId="36" fillId="18" borderId="11" xfId="51" applyNumberFormat="1" applyFont="1" applyFill="1" applyBorder="1" applyAlignment="1">
      <alignment vertical="top"/>
      <protection/>
    </xf>
    <xf numFmtId="3" fontId="32" fillId="18" borderId="11" xfId="51" applyNumberFormat="1" applyFont="1" applyFill="1" applyBorder="1" applyAlignment="1">
      <alignment vertical="top"/>
      <protection/>
    </xf>
    <xf numFmtId="3" fontId="32" fillId="2" borderId="11" xfId="51" applyNumberFormat="1" applyFont="1" applyFill="1" applyBorder="1" applyAlignment="1">
      <alignment vertical="top"/>
      <protection/>
    </xf>
    <xf numFmtId="3" fontId="37" fillId="18" borderId="11" xfId="51" applyNumberFormat="1" applyFont="1" applyFill="1" applyBorder="1" applyAlignment="1">
      <alignment vertical="top"/>
      <protection/>
    </xf>
    <xf numFmtId="3" fontId="37" fillId="2" borderId="11" xfId="51" applyNumberFormat="1" applyFont="1" applyFill="1" applyBorder="1" applyAlignment="1">
      <alignment vertical="top"/>
      <protection/>
    </xf>
    <xf numFmtId="0" fontId="35" fillId="0" borderId="11" xfId="51" applyFont="1" applyFill="1" applyBorder="1" applyAlignment="1">
      <alignment vertical="top"/>
      <protection/>
    </xf>
    <xf numFmtId="3" fontId="35" fillId="2" borderId="11" xfId="51" applyNumberFormat="1" applyFont="1" applyFill="1" applyBorder="1" applyAlignment="1">
      <alignment vertical="top"/>
      <protection/>
    </xf>
    <xf numFmtId="3" fontId="36" fillId="0" borderId="11" xfId="51" applyNumberFormat="1" applyFont="1" applyFill="1" applyBorder="1" applyAlignment="1">
      <alignment vertical="top"/>
      <protection/>
    </xf>
    <xf numFmtId="3" fontId="36" fillId="14" borderId="11" xfId="51" applyNumberFormat="1" applyFont="1" applyFill="1" applyBorder="1" applyAlignment="1">
      <alignment vertical="top"/>
      <protection/>
    </xf>
    <xf numFmtId="3" fontId="36" fillId="0" borderId="16" xfId="51" applyNumberFormat="1" applyFont="1" applyFill="1" applyBorder="1" applyAlignment="1">
      <alignment vertical="top"/>
      <protection/>
    </xf>
    <xf numFmtId="3" fontId="39" fillId="0" borderId="16" xfId="51" applyNumberFormat="1" applyFont="1" applyFill="1" applyBorder="1" applyAlignment="1">
      <alignment vertical="top"/>
      <protection/>
    </xf>
    <xf numFmtId="3" fontId="36" fillId="14" borderId="16" xfId="51" applyNumberFormat="1" applyFont="1" applyFill="1" applyBorder="1" applyAlignment="1">
      <alignment vertical="top"/>
      <protection/>
    </xf>
    <xf numFmtId="0" fontId="36" fillId="0" borderId="11" xfId="51" applyFont="1" applyFill="1" applyBorder="1" applyAlignment="1">
      <alignment vertical="top"/>
      <protection/>
    </xf>
    <xf numFmtId="0" fontId="39" fillId="0" borderId="16" xfId="51" applyFont="1" applyFill="1" applyBorder="1" applyAlignment="1">
      <alignment vertical="top"/>
      <protection/>
    </xf>
    <xf numFmtId="3" fontId="35" fillId="0" borderId="19" xfId="51" applyNumberFormat="1" applyFont="1" applyFill="1" applyBorder="1" applyAlignment="1">
      <alignment vertical="top"/>
      <protection/>
    </xf>
    <xf numFmtId="0" fontId="36" fillId="0" borderId="11" xfId="51" applyFont="1" applyBorder="1" applyAlignment="1">
      <alignment vertical="top"/>
      <protection/>
    </xf>
    <xf numFmtId="3" fontId="35" fillId="0" borderId="11" xfId="51" applyNumberFormat="1" applyFont="1" applyBorder="1" applyAlignment="1">
      <alignment vertical="top"/>
      <protection/>
    </xf>
    <xf numFmtId="3" fontId="35" fillId="18" borderId="11" xfId="51" applyNumberFormat="1" applyFont="1" applyFill="1" applyBorder="1" applyAlignment="1">
      <alignment vertical="top"/>
      <protection/>
    </xf>
    <xf numFmtId="0" fontId="35" fillId="18" borderId="11" xfId="51" applyFont="1" applyFill="1" applyBorder="1" applyAlignment="1">
      <alignment vertical="top"/>
      <protection/>
    </xf>
    <xf numFmtId="0" fontId="35" fillId="2" borderId="11" xfId="51" applyFont="1" applyFill="1" applyBorder="1" applyAlignment="1">
      <alignment vertical="top"/>
      <protection/>
    </xf>
    <xf numFmtId="3" fontId="35" fillId="14" borderId="11" xfId="51" applyNumberFormat="1" applyFont="1" applyFill="1" applyBorder="1" applyAlignment="1">
      <alignment vertical="top"/>
      <protection/>
    </xf>
    <xf numFmtId="3" fontId="35" fillId="0" borderId="20" xfId="51" applyNumberFormat="1" applyFont="1" applyFill="1" applyBorder="1" applyAlignment="1">
      <alignment horizontal="center" vertical="top"/>
      <protection/>
    </xf>
    <xf numFmtId="0" fontId="35" fillId="0" borderId="20" xfId="51" applyFont="1" applyFill="1" applyBorder="1" applyAlignment="1">
      <alignment horizontal="center" vertical="top"/>
      <protection/>
    </xf>
    <xf numFmtId="3" fontId="35" fillId="0" borderId="20" xfId="51" applyNumberFormat="1" applyFont="1" applyFill="1" applyBorder="1" applyAlignment="1">
      <alignment horizontal="right" vertical="center"/>
      <protection/>
    </xf>
    <xf numFmtId="3" fontId="38" fillId="18" borderId="11" xfId="51" applyNumberFormat="1" applyFont="1" applyFill="1" applyBorder="1" applyAlignment="1">
      <alignment vertical="top"/>
      <protection/>
    </xf>
    <xf numFmtId="3" fontId="40" fillId="0" borderId="11" xfId="51" applyNumberFormat="1" applyFont="1" applyBorder="1" applyAlignment="1">
      <alignment vertical="top"/>
      <protection/>
    </xf>
    <xf numFmtId="3" fontId="41" fillId="18" borderId="11" xfId="51" applyNumberFormat="1" applyFont="1" applyFill="1" applyBorder="1" applyAlignment="1">
      <alignment vertical="top"/>
      <protection/>
    </xf>
    <xf numFmtId="3" fontId="41" fillId="2" borderId="11" xfId="51" applyNumberFormat="1" applyFont="1" applyFill="1" applyBorder="1" applyAlignment="1">
      <alignment vertical="top"/>
      <protection/>
    </xf>
    <xf numFmtId="3" fontId="42" fillId="0" borderId="11" xfId="51" applyNumberFormat="1" applyFont="1" applyBorder="1" applyAlignment="1">
      <alignment vertical="top"/>
      <protection/>
    </xf>
    <xf numFmtId="3" fontId="43" fillId="0" borderId="11" xfId="51" applyNumberFormat="1" applyFont="1" applyBorder="1" applyAlignment="1">
      <alignment vertical="top"/>
      <protection/>
    </xf>
    <xf numFmtId="3" fontId="42" fillId="14" borderId="11" xfId="51" applyNumberFormat="1" applyFont="1" applyFill="1" applyBorder="1" applyAlignment="1">
      <alignment vertical="top"/>
      <protection/>
    </xf>
    <xf numFmtId="0" fontId="29" fillId="0" borderId="17" xfId="51" applyFont="1" applyFill="1" applyBorder="1" applyAlignment="1">
      <alignment vertical="top"/>
      <protection/>
    </xf>
    <xf numFmtId="3" fontId="35" fillId="14" borderId="20" xfId="51" applyNumberFormat="1" applyFont="1" applyFill="1" applyBorder="1" applyAlignment="1">
      <alignment horizontal="right" vertical="top" wrapText="1"/>
      <protection/>
    </xf>
    <xf numFmtId="3" fontId="35" fillId="0" borderId="20" xfId="51" applyNumberFormat="1" applyFont="1" applyFill="1" applyBorder="1" applyAlignment="1">
      <alignment horizontal="right" vertical="top"/>
      <protection/>
    </xf>
    <xf numFmtId="3" fontId="0" fillId="0" borderId="11" xfId="53" applyNumberFormat="1" applyFill="1" applyBorder="1" applyAlignment="1">
      <alignment/>
    </xf>
    <xf numFmtId="10" fontId="0" fillId="0" borderId="11" xfId="53" applyNumberFormat="1" applyFill="1" applyBorder="1" applyAlignment="1">
      <alignment/>
    </xf>
    <xf numFmtId="0" fontId="20" fillId="0" borderId="11" xfId="51" applyFont="1" applyFill="1" applyBorder="1" applyAlignment="1">
      <alignment vertical="top" wrapText="1"/>
      <protection/>
    </xf>
    <xf numFmtId="0" fontId="20" fillId="0" borderId="17" xfId="51" applyFont="1" applyFill="1" applyBorder="1" applyAlignment="1">
      <alignment vertical="top"/>
      <protection/>
    </xf>
    <xf numFmtId="3" fontId="32" fillId="0" borderId="17" xfId="51" applyNumberFormat="1" applyFont="1" applyFill="1" applyBorder="1" applyAlignment="1">
      <alignment vertical="top"/>
      <protection/>
    </xf>
    <xf numFmtId="3" fontId="32" fillId="14" borderId="17" xfId="51" applyNumberFormat="1" applyFont="1" applyFill="1" applyBorder="1" applyAlignment="1">
      <alignment vertical="top"/>
      <protection/>
    </xf>
    <xf numFmtId="0" fontId="32" fillId="0" borderId="17" xfId="51" applyFont="1" applyFill="1" applyBorder="1" applyAlignment="1">
      <alignment vertical="top"/>
      <protection/>
    </xf>
    <xf numFmtId="0" fontId="44" fillId="0" borderId="11" xfId="51" applyFont="1" applyBorder="1" applyAlignment="1">
      <alignment vertical="top" wrapText="1"/>
      <protection/>
    </xf>
    <xf numFmtId="0" fontId="44" fillId="0" borderId="11" xfId="51" applyFont="1" applyBorder="1" applyAlignment="1">
      <alignment vertical="top"/>
      <protection/>
    </xf>
    <xf numFmtId="3" fontId="39" fillId="0" borderId="11" xfId="51" applyNumberFormat="1" applyFont="1" applyBorder="1" applyAlignment="1">
      <alignment vertical="top"/>
      <protection/>
    </xf>
    <xf numFmtId="3" fontId="39" fillId="14" borderId="11" xfId="51" applyNumberFormat="1" applyFont="1" applyFill="1" applyBorder="1" applyAlignment="1">
      <alignment vertical="top"/>
      <protection/>
    </xf>
    <xf numFmtId="3" fontId="32" fillId="0" borderId="11" xfId="51" applyNumberFormat="1" applyFont="1" applyBorder="1" applyAlignment="1">
      <alignment vertical="top"/>
      <protection/>
    </xf>
    <xf numFmtId="0" fontId="45" fillId="0" borderId="11" xfId="51" applyFont="1" applyBorder="1" applyAlignment="1">
      <alignment vertical="top"/>
      <protection/>
    </xf>
    <xf numFmtId="3" fontId="21" fillId="0" borderId="17" xfId="51" applyNumberFormat="1" applyFont="1" applyFill="1" applyBorder="1" applyAlignment="1">
      <alignment vertical="top"/>
      <protection/>
    </xf>
    <xf numFmtId="0" fontId="44" fillId="0" borderId="16" xfId="51" applyFont="1" applyFill="1" applyBorder="1" applyAlignment="1">
      <alignment vertical="top" wrapText="1"/>
      <protection/>
    </xf>
    <xf numFmtId="4" fontId="21" fillId="0" borderId="14" xfId="0" applyNumberFormat="1" applyFont="1" applyBorder="1" applyAlignment="1">
      <alignment vertical="center" wrapText="1"/>
    </xf>
    <xf numFmtId="3" fontId="2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2" fontId="0" fillId="0" borderId="14" xfId="53" applyNumberFormat="1" applyBorder="1" applyAlignment="1">
      <alignment/>
    </xf>
    <xf numFmtId="4" fontId="0" fillId="15" borderId="14" xfId="53" applyNumberFormat="1" applyFill="1" applyBorder="1" applyAlignment="1">
      <alignment/>
    </xf>
    <xf numFmtId="4" fontId="0" fillId="18" borderId="14" xfId="53" applyNumberFormat="1" applyFill="1" applyBorder="1" applyAlignment="1">
      <alignment/>
    </xf>
    <xf numFmtId="4" fontId="0" fillId="0" borderId="14" xfId="53" applyNumberFormat="1" applyFill="1" applyBorder="1" applyAlignment="1">
      <alignment/>
    </xf>
    <xf numFmtId="10" fontId="0" fillId="0" borderId="14" xfId="53" applyNumberFormat="1" applyBorder="1" applyAlignment="1">
      <alignment/>
    </xf>
    <xf numFmtId="10" fontId="0" fillId="18" borderId="14" xfId="53" applyNumberFormat="1" applyFill="1" applyBorder="1" applyAlignment="1">
      <alignment/>
    </xf>
    <xf numFmtId="10" fontId="0" fillId="0" borderId="14" xfId="53" applyNumberFormat="1" applyFill="1" applyBorder="1" applyAlignment="1">
      <alignment/>
    </xf>
    <xf numFmtId="0" fontId="0" fillId="0" borderId="11" xfId="0" applyBorder="1" applyAlignment="1">
      <alignment/>
    </xf>
    <xf numFmtId="2" fontId="0" fillId="18" borderId="0" xfId="53" applyNumberFormat="1" applyFill="1" applyBorder="1" applyAlignment="1">
      <alignment/>
    </xf>
    <xf numFmtId="0" fontId="25" fillId="0" borderId="21" xfId="0" applyFont="1" applyBorder="1" applyAlignment="1">
      <alignment horizontal="right" vertical="top"/>
    </xf>
    <xf numFmtId="0" fontId="25" fillId="0" borderId="21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22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vertical="center"/>
    </xf>
    <xf numFmtId="0" fontId="20" fillId="0" borderId="21" xfId="51" applyFont="1" applyBorder="1" applyAlignment="1">
      <alignment horizontal="center" vertical="top"/>
      <protection/>
    </xf>
    <xf numFmtId="0" fontId="32" fillId="0" borderId="21" xfId="51" applyFont="1" applyBorder="1" applyAlignment="1">
      <alignment horizontal="center" vertical="top"/>
      <protection/>
    </xf>
    <xf numFmtId="0" fontId="32" fillId="0" borderId="14" xfId="51" applyFont="1" applyFill="1" applyBorder="1" applyAlignment="1">
      <alignment horizontal="left" vertical="top" wrapText="1"/>
      <protection/>
    </xf>
    <xf numFmtId="0" fontId="32" fillId="0" borderId="10" xfId="51" applyFont="1" applyFill="1" applyBorder="1" applyAlignment="1">
      <alignment horizontal="left" vertical="top" wrapText="1"/>
      <protection/>
    </xf>
    <xf numFmtId="0" fontId="39" fillId="0" borderId="12" xfId="51" applyFont="1" applyBorder="1" applyAlignment="1">
      <alignment horizontal="left" vertical="top" wrapText="1"/>
      <protection/>
    </xf>
    <xf numFmtId="0" fontId="39" fillId="0" borderId="13" xfId="51" applyFont="1" applyBorder="1" applyAlignment="1">
      <alignment horizontal="left" vertical="top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39" fillId="0" borderId="14" xfId="51" applyFont="1" applyFill="1" applyBorder="1" applyAlignment="1">
      <alignment horizontal="left" vertical="center" wrapText="1"/>
      <protection/>
    </xf>
    <xf numFmtId="0" fontId="39" fillId="0" borderId="10" xfId="51" applyFont="1" applyFill="1" applyBorder="1" applyAlignment="1">
      <alignment horizontal="left" vertical="center" wrapText="1"/>
      <protection/>
    </xf>
    <xf numFmtId="0" fontId="35" fillId="0" borderId="14" xfId="51" applyFont="1" applyFill="1" applyBorder="1" applyAlignment="1">
      <alignment horizontal="left" vertical="top"/>
      <protection/>
    </xf>
    <xf numFmtId="0" fontId="35" fillId="0" borderId="10" xfId="51" applyFont="1" applyFill="1" applyBorder="1" applyAlignment="1">
      <alignment horizontal="left" vertical="top"/>
      <protection/>
    </xf>
    <xf numFmtId="0" fontId="36" fillId="0" borderId="14" xfId="51" applyFont="1" applyFill="1" applyBorder="1" applyAlignment="1">
      <alignment horizontal="left" vertical="top" wrapText="1"/>
      <protection/>
    </xf>
    <xf numFmtId="0" fontId="36" fillId="0" borderId="10" xfId="51" applyFont="1" applyFill="1" applyBorder="1" applyAlignment="1">
      <alignment horizontal="left" vertical="top" wrapText="1"/>
      <protection/>
    </xf>
    <xf numFmtId="0" fontId="36" fillId="0" borderId="12" xfId="51" applyFont="1" applyBorder="1" applyAlignment="1">
      <alignment horizontal="left" vertical="top" wrapText="1"/>
      <protection/>
    </xf>
    <xf numFmtId="0" fontId="36" fillId="0" borderId="13" xfId="51" applyFont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top" wrapText="1"/>
      <protection/>
    </xf>
    <xf numFmtId="0" fontId="36" fillId="0" borderId="13" xfId="51" applyFont="1" applyFill="1" applyBorder="1" applyAlignment="1">
      <alignment horizontal="left" vertical="top" wrapText="1"/>
      <protection/>
    </xf>
    <xf numFmtId="0" fontId="30" fillId="2" borderId="12" xfId="51" applyFont="1" applyFill="1" applyBorder="1" applyAlignment="1">
      <alignment horizontal="left" vertical="top" wrapText="1"/>
      <protection/>
    </xf>
    <xf numFmtId="0" fontId="30" fillId="2" borderId="13" xfId="51" applyFont="1" applyFill="1" applyBorder="1" applyAlignment="1">
      <alignment horizontal="left" vertical="top" wrapText="1"/>
      <protection/>
    </xf>
    <xf numFmtId="0" fontId="34" fillId="0" borderId="12" xfId="51" applyFont="1" applyBorder="1" applyAlignment="1">
      <alignment horizontal="left" vertical="top" wrapText="1"/>
      <protection/>
    </xf>
    <xf numFmtId="0" fontId="34" fillId="0" borderId="25" xfId="51" applyFont="1" applyBorder="1" applyAlignment="1">
      <alignment horizontal="left" vertical="top" wrapText="1"/>
      <protection/>
    </xf>
    <xf numFmtId="0" fontId="34" fillId="0" borderId="13" xfId="51" applyFont="1" applyBorder="1" applyAlignment="1">
      <alignment horizontal="left" vertical="top" wrapText="1"/>
      <protection/>
    </xf>
    <xf numFmtId="0" fontId="35" fillId="0" borderId="14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28" fillId="0" borderId="12" xfId="51" applyFont="1" applyBorder="1" applyAlignment="1">
      <alignment horizontal="left" vertical="top" wrapText="1"/>
      <protection/>
    </xf>
    <xf numFmtId="0" fontId="28" fillId="0" borderId="13" xfId="51" applyFont="1" applyBorder="1" applyAlignment="1">
      <alignment horizontal="left" vertical="top" wrapText="1"/>
      <protection/>
    </xf>
    <xf numFmtId="0" fontId="20" fillId="18" borderId="12" xfId="51" applyFont="1" applyFill="1" applyBorder="1" applyAlignment="1">
      <alignment horizontal="left" vertical="top"/>
      <protection/>
    </xf>
    <xf numFmtId="0" fontId="20" fillId="18" borderId="13" xfId="51" applyFont="1" applyFill="1" applyBorder="1" applyAlignment="1">
      <alignment horizontal="left" vertical="top"/>
      <protection/>
    </xf>
    <xf numFmtId="0" fontId="30" fillId="18" borderId="12" xfId="51" applyFont="1" applyFill="1" applyBorder="1" applyAlignment="1">
      <alignment horizontal="left" vertical="top"/>
      <protection/>
    </xf>
    <xf numFmtId="0" fontId="30" fillId="18" borderId="13" xfId="51" applyFont="1" applyFill="1" applyBorder="1" applyAlignment="1">
      <alignment horizontal="left" vertical="top"/>
      <protection/>
    </xf>
    <xf numFmtId="0" fontId="20" fillId="2" borderId="12" xfId="51" applyFont="1" applyFill="1" applyBorder="1" applyAlignment="1">
      <alignment horizontal="left" vertical="top"/>
      <protection/>
    </xf>
    <xf numFmtId="0" fontId="20" fillId="2" borderId="13" xfId="51" applyFont="1" applyFill="1" applyBorder="1" applyAlignment="1">
      <alignment horizontal="left" vertical="top"/>
      <protection/>
    </xf>
    <xf numFmtId="0" fontId="35" fillId="0" borderId="26" xfId="51" applyFont="1" applyFill="1" applyBorder="1" applyAlignment="1">
      <alignment horizontal="left" vertical="center" wrapText="1"/>
      <protection/>
    </xf>
    <xf numFmtId="0" fontId="35" fillId="0" borderId="27" xfId="51" applyFont="1" applyFill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34" fillId="0" borderId="14" xfId="51" applyFont="1" applyBorder="1" applyAlignment="1">
      <alignment horizontal="left" vertical="top"/>
      <protection/>
    </xf>
    <xf numFmtId="0" fontId="34" fillId="0" borderId="15" xfId="51" applyFont="1" applyBorder="1" applyAlignment="1">
      <alignment horizontal="left" vertical="top"/>
      <protection/>
    </xf>
    <xf numFmtId="0" fontId="34" fillId="0" borderId="10" xfId="51" applyFont="1" applyBorder="1" applyAlignment="1">
      <alignment horizontal="left" vertical="top"/>
      <protection/>
    </xf>
    <xf numFmtId="0" fontId="35" fillId="0" borderId="28" xfId="51" applyFont="1" applyFill="1" applyBorder="1" applyAlignment="1">
      <alignment horizontal="left" vertical="top"/>
      <protection/>
    </xf>
    <xf numFmtId="0" fontId="35" fillId="0" borderId="29" xfId="51" applyFont="1" applyFill="1" applyBorder="1" applyAlignment="1">
      <alignment horizontal="left" vertical="top"/>
      <protection/>
    </xf>
    <xf numFmtId="0" fontId="36" fillId="0" borderId="30" xfId="51" applyFont="1" applyFill="1" applyBorder="1" applyAlignment="1">
      <alignment horizontal="left" vertical="center" wrapText="1"/>
      <protection/>
    </xf>
    <xf numFmtId="0" fontId="36" fillId="0" borderId="31" xfId="51" applyFont="1" applyFill="1" applyBorder="1" applyAlignment="1">
      <alignment horizontal="left" vertical="center" wrapText="1"/>
      <protection/>
    </xf>
    <xf numFmtId="0" fontId="27" fillId="0" borderId="32" xfId="51" applyFont="1" applyFill="1" applyBorder="1" applyAlignment="1">
      <alignment horizontal="center" vertical="center" wrapText="1"/>
      <protection/>
    </xf>
    <xf numFmtId="0" fontId="27" fillId="0" borderId="33" xfId="51" applyFont="1" applyFill="1" applyBorder="1" applyAlignment="1">
      <alignment horizontal="center" vertical="center" wrapText="1"/>
      <protection/>
    </xf>
    <xf numFmtId="0" fontId="28" fillId="0" borderId="25" xfId="51" applyFont="1" applyBorder="1" applyAlignment="1">
      <alignment horizontal="left" vertical="top" wrapText="1"/>
      <protection/>
    </xf>
    <xf numFmtId="0" fontId="20" fillId="2" borderId="14" xfId="51" applyFont="1" applyFill="1" applyBorder="1" applyAlignment="1">
      <alignment horizontal="left" vertical="top"/>
      <protection/>
    </xf>
    <xf numFmtId="0" fontId="20" fillId="2" borderId="10" xfId="51" applyFont="1" applyFill="1" applyBorder="1" applyAlignment="1">
      <alignment horizontal="left" vertical="top"/>
      <protection/>
    </xf>
    <xf numFmtId="0" fontId="36" fillId="0" borderId="12" xfId="51" applyFont="1" applyFill="1" applyBorder="1" applyAlignment="1">
      <alignment horizontal="left" vertical="center" wrapText="1"/>
      <protection/>
    </xf>
    <xf numFmtId="0" fontId="36" fillId="0" borderId="13" xfId="51" applyFont="1" applyFill="1" applyBorder="1" applyAlignment="1">
      <alignment horizontal="left" vertical="center" wrapText="1"/>
      <protection/>
    </xf>
    <xf numFmtId="0" fontId="40" fillId="0" borderId="14" xfId="51" applyFont="1" applyBorder="1" applyAlignment="1">
      <alignment horizontal="left" vertical="top"/>
      <protection/>
    </xf>
    <xf numFmtId="0" fontId="40" fillId="0" borderId="10" xfId="51" applyFont="1" applyBorder="1" applyAlignment="1">
      <alignment horizontal="left" vertical="top"/>
      <protection/>
    </xf>
    <xf numFmtId="0" fontId="21" fillId="0" borderId="34" xfId="51" applyFont="1" applyBorder="1" applyAlignment="1">
      <alignment horizontal="center" vertical="center"/>
      <protection/>
    </xf>
    <xf numFmtId="0" fontId="21" fillId="0" borderId="35" xfId="51" applyFont="1" applyBorder="1" applyAlignment="1">
      <alignment horizontal="center"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1" fillId="0" borderId="27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14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dsięwzięcia w WPF 2012-20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2"/>
  <sheetViews>
    <sheetView tabSelected="1" view="pageBreakPreview" zoomScaleSheetLayoutView="100" workbookViewId="0" topLeftCell="A1">
      <pane xSplit="2" ySplit="4" topLeftCell="N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0" sqref="S30"/>
    </sheetView>
  </sheetViews>
  <sheetFormatPr defaultColWidth="9.140625" defaultRowHeight="12.75"/>
  <cols>
    <col min="1" max="1" width="4.140625" style="97" customWidth="1"/>
    <col min="2" max="2" width="34.57421875" style="98" customWidth="1"/>
    <col min="3" max="3" width="14.00390625" style="99" hidden="1" customWidth="1"/>
    <col min="4" max="4" width="14.140625" style="99" hidden="1" customWidth="1"/>
    <col min="5" max="5" width="13.8515625" style="99" hidden="1" customWidth="1"/>
    <col min="6" max="6" width="14.421875" style="99" hidden="1" customWidth="1"/>
    <col min="7" max="7" width="14.28125" style="99" customWidth="1"/>
    <col min="8" max="9" width="13.8515625" style="99" customWidth="1"/>
    <col min="10" max="10" width="14.57421875" style="99" bestFit="1" customWidth="1"/>
    <col min="11" max="11" width="13.421875" style="102" customWidth="1"/>
    <col min="12" max="12" width="13.421875" style="99" customWidth="1"/>
    <col min="13" max="17" width="13.57421875" style="99" bestFit="1" customWidth="1"/>
    <col min="18" max="22" width="13.57421875" style="43" customWidth="1"/>
    <col min="23" max="16384" width="9.140625" style="43" customWidth="1"/>
  </cols>
  <sheetData>
    <row r="3" spans="1:22" ht="22.5" customHeight="1">
      <c r="A3" s="207" t="s">
        <v>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6" t="s">
        <v>43</v>
      </c>
      <c r="V3" s="206"/>
    </row>
    <row r="4" spans="1:22" s="49" customFormat="1" ht="25.5">
      <c r="A4" s="44" t="s">
        <v>44</v>
      </c>
      <c r="B4" s="45" t="s">
        <v>45</v>
      </c>
      <c r="C4" s="46" t="s">
        <v>46</v>
      </c>
      <c r="D4" s="46" t="s">
        <v>47</v>
      </c>
      <c r="E4" s="46" t="s">
        <v>48</v>
      </c>
      <c r="F4" s="46" t="s">
        <v>49</v>
      </c>
      <c r="G4" s="46" t="s">
        <v>50</v>
      </c>
      <c r="H4" s="46" t="s">
        <v>51</v>
      </c>
      <c r="I4" s="46" t="s">
        <v>52</v>
      </c>
      <c r="J4" s="46" t="s">
        <v>53</v>
      </c>
      <c r="K4" s="47" t="s">
        <v>54</v>
      </c>
      <c r="L4" s="48" t="s">
        <v>55</v>
      </c>
      <c r="M4" s="46" t="s">
        <v>56</v>
      </c>
      <c r="N4" s="46" t="s">
        <v>57</v>
      </c>
      <c r="O4" s="46" t="s">
        <v>58</v>
      </c>
      <c r="P4" s="46" t="s">
        <v>59</v>
      </c>
      <c r="Q4" s="190" t="s">
        <v>60</v>
      </c>
      <c r="R4" s="190" t="s">
        <v>152</v>
      </c>
      <c r="S4" s="190" t="s">
        <v>153</v>
      </c>
      <c r="T4" s="190" t="s">
        <v>154</v>
      </c>
      <c r="U4" s="190" t="s">
        <v>155</v>
      </c>
      <c r="V4" s="46" t="s">
        <v>156</v>
      </c>
    </row>
    <row r="5" spans="1:22" s="49" customFormat="1" ht="22.5" customHeight="1">
      <c r="A5" s="210" t="s">
        <v>61</v>
      </c>
      <c r="B5" s="211"/>
      <c r="C5" s="46"/>
      <c r="D5" s="46"/>
      <c r="E5" s="46"/>
      <c r="F5" s="46"/>
      <c r="G5" s="46"/>
      <c r="H5" s="46"/>
      <c r="I5" s="46"/>
      <c r="J5" s="46"/>
      <c r="K5" s="47"/>
      <c r="L5" s="48"/>
      <c r="M5" s="46"/>
      <c r="N5" s="46"/>
      <c r="O5" s="46"/>
      <c r="P5" s="46"/>
      <c r="Q5" s="190"/>
      <c r="R5" s="45"/>
      <c r="S5" s="45"/>
      <c r="T5" s="45"/>
      <c r="U5" s="45"/>
      <c r="V5" s="45"/>
    </row>
    <row r="6" spans="1:22" s="54" customFormat="1" ht="12.75">
      <c r="A6" s="50">
        <v>1</v>
      </c>
      <c r="B6" s="51" t="s">
        <v>62</v>
      </c>
      <c r="C6" s="52">
        <f aca="true" t="shared" si="0" ref="C6:V6">C7+C8</f>
        <v>129927056</v>
      </c>
      <c r="D6" s="52">
        <f t="shared" si="0"/>
        <v>138078883</v>
      </c>
      <c r="E6" s="52">
        <f t="shared" si="0"/>
        <v>146236298</v>
      </c>
      <c r="F6" s="52">
        <f t="shared" si="0"/>
        <v>179495469</v>
      </c>
      <c r="G6" s="52">
        <f t="shared" si="0"/>
        <v>162858085</v>
      </c>
      <c r="H6" s="52">
        <f t="shared" si="0"/>
        <v>146961800</v>
      </c>
      <c r="I6" s="52">
        <f t="shared" si="0"/>
        <v>151073073</v>
      </c>
      <c r="J6" s="52">
        <f t="shared" si="0"/>
        <v>152955995.92000002</v>
      </c>
      <c r="K6" s="53">
        <f t="shared" si="0"/>
        <v>158615367.76904002</v>
      </c>
      <c r="L6" s="52">
        <f t="shared" si="0"/>
        <v>164166905.6409564</v>
      </c>
      <c r="M6" s="52">
        <f t="shared" si="0"/>
        <v>169748580.4327489</v>
      </c>
      <c r="N6" s="52">
        <f t="shared" si="0"/>
        <v>175350283.5870296</v>
      </c>
      <c r="O6" s="52">
        <f t="shared" si="0"/>
        <v>180961492.66181457</v>
      </c>
      <c r="P6" s="52">
        <f t="shared" si="0"/>
        <v>186571298.93433082</v>
      </c>
      <c r="Q6" s="191">
        <f t="shared" si="0"/>
        <v>192168437.90236074</v>
      </c>
      <c r="R6" s="191">
        <f t="shared" si="0"/>
        <v>197933491.03943157</v>
      </c>
      <c r="S6" s="191">
        <f t="shared" si="0"/>
        <v>203871495.77061453</v>
      </c>
      <c r="T6" s="191">
        <f t="shared" si="0"/>
        <v>209987640.64373296</v>
      </c>
      <c r="U6" s="191">
        <f t="shared" si="0"/>
        <v>216287269.86304495</v>
      </c>
      <c r="V6" s="52">
        <f t="shared" si="0"/>
        <v>222775887.9589363</v>
      </c>
    </row>
    <row r="7" spans="1:22" ht="12.75">
      <c r="A7" s="55" t="s">
        <v>63</v>
      </c>
      <c r="B7" s="56" t="s">
        <v>64</v>
      </c>
      <c r="C7" s="57">
        <v>124203715</v>
      </c>
      <c r="D7" s="57">
        <v>122702875</v>
      </c>
      <c r="E7" s="57">
        <v>126894047</v>
      </c>
      <c r="F7" s="57">
        <v>131666015</v>
      </c>
      <c r="G7" s="58">
        <v>137841117</v>
      </c>
      <c r="H7" s="57">
        <f>141521415+31110</f>
        <v>141552525</v>
      </c>
      <c r="I7" s="57">
        <f>147040750+32323</f>
        <v>147073073</v>
      </c>
      <c r="J7" s="57">
        <f>I7*1.04</f>
        <v>152955995.92000002</v>
      </c>
      <c r="K7" s="59">
        <f>J7*1.037</f>
        <v>158615367.76904002</v>
      </c>
      <c r="L7" s="57">
        <f>K7*1.035</f>
        <v>164166905.6409564</v>
      </c>
      <c r="M7" s="57">
        <f>L7*1.034</f>
        <v>169748580.4327489</v>
      </c>
      <c r="N7" s="57">
        <f>M7*1.033</f>
        <v>175350283.5870296</v>
      </c>
      <c r="O7" s="57">
        <f>N7*1.032</f>
        <v>180961492.66181457</v>
      </c>
      <c r="P7" s="57">
        <f>O7*1.031</f>
        <v>186571298.93433082</v>
      </c>
      <c r="Q7" s="192">
        <f aca="true" t="shared" si="1" ref="Q7:V7">P7*1.03</f>
        <v>192168437.90236074</v>
      </c>
      <c r="R7" s="192">
        <f t="shared" si="1"/>
        <v>197933491.03943157</v>
      </c>
      <c r="S7" s="192">
        <f t="shared" si="1"/>
        <v>203871495.77061453</v>
      </c>
      <c r="T7" s="192">
        <f t="shared" si="1"/>
        <v>209987640.64373296</v>
      </c>
      <c r="U7" s="192">
        <f t="shared" si="1"/>
        <v>216287269.86304495</v>
      </c>
      <c r="V7" s="57">
        <f t="shared" si="1"/>
        <v>222775887.9589363</v>
      </c>
    </row>
    <row r="8" spans="1:22" ht="12.75">
      <c r="A8" s="55" t="s">
        <v>65</v>
      </c>
      <c r="B8" s="56" t="s">
        <v>66</v>
      </c>
      <c r="C8" s="57">
        <v>5723341</v>
      </c>
      <c r="D8" s="57">
        <v>15376008</v>
      </c>
      <c r="E8" s="57">
        <v>19342251</v>
      </c>
      <c r="F8" s="57">
        <v>47829454</v>
      </c>
      <c r="G8" s="60">
        <v>25016968</v>
      </c>
      <c r="H8" s="60">
        <f>4000000+1409275</f>
        <v>5409275</v>
      </c>
      <c r="I8" s="57">
        <v>4000000</v>
      </c>
      <c r="J8" s="57"/>
      <c r="K8" s="59"/>
      <c r="L8" s="57"/>
      <c r="M8" s="57"/>
      <c r="N8" s="57"/>
      <c r="O8" s="57"/>
      <c r="P8" s="57"/>
      <c r="Q8" s="192"/>
      <c r="R8" s="57"/>
      <c r="S8" s="57"/>
      <c r="T8" s="57"/>
      <c r="U8" s="57"/>
      <c r="V8" s="57"/>
    </row>
    <row r="9" spans="1:22" ht="12.75">
      <c r="A9" s="55" t="s">
        <v>67</v>
      </c>
      <c r="B9" s="56" t="s">
        <v>68</v>
      </c>
      <c r="C9" s="57">
        <v>644322</v>
      </c>
      <c r="D9" s="57">
        <v>1327622</v>
      </c>
      <c r="E9" s="57">
        <v>4963541</v>
      </c>
      <c r="F9" s="57">
        <v>4478759</v>
      </c>
      <c r="G9" s="57">
        <v>2693060</v>
      </c>
      <c r="H9" s="57">
        <v>4000000</v>
      </c>
      <c r="I9" s="57">
        <v>4000000</v>
      </c>
      <c r="J9" s="57"/>
      <c r="K9" s="59"/>
      <c r="L9" s="57"/>
      <c r="M9" s="57"/>
      <c r="N9" s="57"/>
      <c r="O9" s="57"/>
      <c r="P9" s="57"/>
      <c r="Q9" s="192"/>
      <c r="R9" s="57"/>
      <c r="S9" s="57"/>
      <c r="T9" s="57"/>
      <c r="U9" s="57"/>
      <c r="V9" s="57"/>
    </row>
    <row r="10" spans="1:22" s="54" customFormat="1" ht="51">
      <c r="A10" s="50">
        <v>2</v>
      </c>
      <c r="B10" s="51" t="s">
        <v>69</v>
      </c>
      <c r="C10" s="52">
        <f>104122000-1</f>
        <v>104121999</v>
      </c>
      <c r="D10" s="52">
        <f>115390087-1</f>
        <v>115390086</v>
      </c>
      <c r="E10" s="52">
        <v>126415257</v>
      </c>
      <c r="F10" s="52">
        <v>130489326</v>
      </c>
      <c r="G10" s="52">
        <v>133418398</v>
      </c>
      <c r="H10" s="52">
        <v>131701381.85</v>
      </c>
      <c r="I10" s="52">
        <f>H10*1.025</f>
        <v>134993916.39624998</v>
      </c>
      <c r="J10" s="52">
        <f>I10*1.025</f>
        <v>138368764.30615622</v>
      </c>
      <c r="K10" s="53">
        <f>J10*1.025</f>
        <v>141827983.4138101</v>
      </c>
      <c r="L10" s="52">
        <f>K10*1.025</f>
        <v>145373682.99915534</v>
      </c>
      <c r="M10" s="52">
        <f aca="true" t="shared" si="2" ref="M10:V10">L10*1.024</f>
        <v>148862651.39113507</v>
      </c>
      <c r="N10" s="52">
        <f t="shared" si="2"/>
        <v>152435355.0245223</v>
      </c>
      <c r="O10" s="52">
        <f t="shared" si="2"/>
        <v>156093803.54511085</v>
      </c>
      <c r="P10" s="52">
        <f t="shared" si="2"/>
        <v>159840054.83019352</v>
      </c>
      <c r="Q10" s="191">
        <f t="shared" si="2"/>
        <v>163676216.14611816</v>
      </c>
      <c r="R10" s="191">
        <f t="shared" si="2"/>
        <v>167604445.333625</v>
      </c>
      <c r="S10" s="191">
        <f t="shared" si="2"/>
        <v>171626952.021632</v>
      </c>
      <c r="T10" s="191">
        <f t="shared" si="2"/>
        <v>175745998.87015116</v>
      </c>
      <c r="U10" s="191">
        <f t="shared" si="2"/>
        <v>179963902.8430348</v>
      </c>
      <c r="V10" s="52">
        <f t="shared" si="2"/>
        <v>184283036.51126763</v>
      </c>
    </row>
    <row r="11" spans="1:22" ht="25.5">
      <c r="A11" s="55" t="s">
        <v>70</v>
      </c>
      <c r="B11" s="56" t="s">
        <v>71</v>
      </c>
      <c r="C11" s="60">
        <v>56403262</v>
      </c>
      <c r="D11" s="60">
        <v>62155974</v>
      </c>
      <c r="E11" s="57">
        <v>66294489</v>
      </c>
      <c r="F11" s="57">
        <v>68462278</v>
      </c>
      <c r="G11" s="57">
        <v>72248404</v>
      </c>
      <c r="H11" s="57">
        <v>72256835</v>
      </c>
      <c r="I11" s="57">
        <f aca="true" t="shared" si="3" ref="I11:V11">+H11*1.03</f>
        <v>74424540.05</v>
      </c>
      <c r="J11" s="57">
        <f t="shared" si="3"/>
        <v>76657276.2515</v>
      </c>
      <c r="K11" s="59">
        <f t="shared" si="3"/>
        <v>78956994.53904499</v>
      </c>
      <c r="L11" s="57">
        <f t="shared" si="3"/>
        <v>81325704.37521635</v>
      </c>
      <c r="M11" s="57">
        <f t="shared" si="3"/>
        <v>83765475.50647284</v>
      </c>
      <c r="N11" s="57">
        <f t="shared" si="3"/>
        <v>86278439.77166703</v>
      </c>
      <c r="O11" s="57">
        <f t="shared" si="3"/>
        <v>88866792.96481705</v>
      </c>
      <c r="P11" s="57">
        <f t="shared" si="3"/>
        <v>91532796.75376156</v>
      </c>
      <c r="Q11" s="192">
        <f t="shared" si="3"/>
        <v>94278780.65637441</v>
      </c>
      <c r="R11" s="192">
        <f t="shared" si="3"/>
        <v>97107144.07606564</v>
      </c>
      <c r="S11" s="192">
        <f t="shared" si="3"/>
        <v>100020358.39834762</v>
      </c>
      <c r="T11" s="192">
        <f t="shared" si="3"/>
        <v>103020969.15029804</v>
      </c>
      <c r="U11" s="192">
        <f t="shared" si="3"/>
        <v>106111598.224807</v>
      </c>
      <c r="V11" s="57">
        <f t="shared" si="3"/>
        <v>109294946.17155121</v>
      </c>
    </row>
    <row r="12" spans="1:22" ht="12.75">
      <c r="A12" s="55" t="s">
        <v>72</v>
      </c>
      <c r="B12" s="56" t="s">
        <v>73</v>
      </c>
      <c r="C12" s="60">
        <v>8569307</v>
      </c>
      <c r="D12" s="60">
        <v>8593601</v>
      </c>
      <c r="E12" s="57">
        <v>9228070</v>
      </c>
      <c r="F12" s="57">
        <v>9523529</v>
      </c>
      <c r="G12" s="57">
        <v>9920752</v>
      </c>
      <c r="H12" s="57">
        <v>9870185</v>
      </c>
      <c r="I12" s="57">
        <f>+H12*1.025</f>
        <v>10116939.625</v>
      </c>
      <c r="J12" s="57">
        <f>+I12*1.025</f>
        <v>10369863.115625</v>
      </c>
      <c r="K12" s="59">
        <f>+J12*1.025</f>
        <v>10629109.693515623</v>
      </c>
      <c r="L12" s="57">
        <f>+K12*1.025</f>
        <v>10894837.435853513</v>
      </c>
      <c r="M12" s="57">
        <f>+L12*1.025</f>
        <v>11167208.37174985</v>
      </c>
      <c r="N12" s="57">
        <f aca="true" t="shared" si="4" ref="N12:V12">+M12*1.024</f>
        <v>11435221.372671846</v>
      </c>
      <c r="O12" s="57">
        <f t="shared" si="4"/>
        <v>11709666.685615972</v>
      </c>
      <c r="P12" s="57">
        <f t="shared" si="4"/>
        <v>11990698.686070755</v>
      </c>
      <c r="Q12" s="192">
        <f t="shared" si="4"/>
        <v>12278475.454536453</v>
      </c>
      <c r="R12" s="192">
        <f t="shared" si="4"/>
        <v>12573158.865445329</v>
      </c>
      <c r="S12" s="192">
        <f t="shared" si="4"/>
        <v>12874914.678216018</v>
      </c>
      <c r="T12" s="192">
        <f t="shared" si="4"/>
        <v>13183912.630493203</v>
      </c>
      <c r="U12" s="192">
        <f t="shared" si="4"/>
        <v>13500326.53362504</v>
      </c>
      <c r="V12" s="57">
        <f t="shared" si="4"/>
        <v>13824334.370432042</v>
      </c>
    </row>
    <row r="13" spans="1:22" ht="12.75">
      <c r="A13" s="55" t="s">
        <v>74</v>
      </c>
      <c r="B13" s="56" t="s">
        <v>75</v>
      </c>
      <c r="C13" s="57">
        <v>0</v>
      </c>
      <c r="D13" s="57">
        <v>0</v>
      </c>
      <c r="E13" s="57">
        <v>0</v>
      </c>
      <c r="F13" s="57">
        <v>417759</v>
      </c>
      <c r="G13" s="57">
        <v>666400</v>
      </c>
      <c r="H13" s="57">
        <v>658499</v>
      </c>
      <c r="I13" s="57">
        <v>901598</v>
      </c>
      <c r="J13" s="57">
        <v>981396</v>
      </c>
      <c r="K13" s="59">
        <v>1062112</v>
      </c>
      <c r="L13" s="57">
        <v>1039211</v>
      </c>
      <c r="M13" s="57">
        <v>1017310</v>
      </c>
      <c r="N13" s="57">
        <v>740955</v>
      </c>
      <c r="O13" s="57">
        <v>368000</v>
      </c>
      <c r="P13" s="57">
        <v>353000</v>
      </c>
      <c r="Q13" s="192">
        <v>339000</v>
      </c>
      <c r="R13" s="57">
        <v>324000</v>
      </c>
      <c r="S13" s="57">
        <v>310000</v>
      </c>
      <c r="T13" s="57">
        <v>295000</v>
      </c>
      <c r="U13" s="57">
        <v>281000</v>
      </c>
      <c r="V13" s="57">
        <v>135000</v>
      </c>
    </row>
    <row r="14" spans="1:22" ht="38.25">
      <c r="A14" s="55" t="s">
        <v>76</v>
      </c>
      <c r="B14" s="56" t="s">
        <v>77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9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</row>
    <row r="15" spans="1:22" ht="25.5">
      <c r="A15" s="55" t="s">
        <v>78</v>
      </c>
      <c r="B15" s="61" t="s">
        <v>79</v>
      </c>
      <c r="C15" s="57">
        <v>0</v>
      </c>
      <c r="D15" s="57">
        <v>0</v>
      </c>
      <c r="E15" s="57">
        <v>0</v>
      </c>
      <c r="F15" s="57">
        <v>3473329</v>
      </c>
      <c r="G15" s="60">
        <v>6338202</v>
      </c>
      <c r="H15" s="60">
        <v>3657249</v>
      </c>
      <c r="I15" s="60">
        <v>1542803</v>
      </c>
      <c r="J15" s="60">
        <v>1023396</v>
      </c>
      <c r="K15" s="59">
        <v>1062112</v>
      </c>
      <c r="L15" s="60">
        <v>1039211</v>
      </c>
      <c r="M15" s="60">
        <v>1017310</v>
      </c>
      <c r="N15" s="60">
        <v>740955</v>
      </c>
      <c r="O15" s="60">
        <v>368000</v>
      </c>
      <c r="P15" s="60">
        <v>353000</v>
      </c>
      <c r="Q15" s="193">
        <v>339000</v>
      </c>
      <c r="R15" s="57">
        <v>324000</v>
      </c>
      <c r="S15" s="57">
        <v>310000</v>
      </c>
      <c r="T15" s="57">
        <v>295000</v>
      </c>
      <c r="U15" s="57">
        <v>281000</v>
      </c>
      <c r="V15" s="57">
        <v>135000</v>
      </c>
    </row>
    <row r="16" spans="1:22" ht="12.75">
      <c r="A16" s="55">
        <v>3</v>
      </c>
      <c r="B16" s="56" t="s">
        <v>80</v>
      </c>
      <c r="C16" s="57">
        <f aca="true" t="shared" si="5" ref="C16:J16">C6-C10</f>
        <v>25805057</v>
      </c>
      <c r="D16" s="57">
        <f t="shared" si="5"/>
        <v>22688797</v>
      </c>
      <c r="E16" s="57">
        <f t="shared" si="5"/>
        <v>19821041</v>
      </c>
      <c r="F16" s="57">
        <f t="shared" si="5"/>
        <v>49006143</v>
      </c>
      <c r="G16" s="57">
        <f t="shared" si="5"/>
        <v>29439687</v>
      </c>
      <c r="H16" s="57">
        <f t="shared" si="5"/>
        <v>15260418.150000006</v>
      </c>
      <c r="I16" s="57">
        <f t="shared" si="5"/>
        <v>16079156.60375002</v>
      </c>
      <c r="J16" s="57">
        <f t="shared" si="5"/>
        <v>14587231.613843799</v>
      </c>
      <c r="K16" s="59">
        <f>K6-K10+1</f>
        <v>16787385.355229914</v>
      </c>
      <c r="L16" s="57">
        <f aca="true" t="shared" si="6" ref="L16:V16">L6-L10</f>
        <v>18793222.64180106</v>
      </c>
      <c r="M16" s="57">
        <f t="shared" si="6"/>
        <v>20885929.041613847</v>
      </c>
      <c r="N16" s="57">
        <f t="shared" si="6"/>
        <v>22914928.5625073</v>
      </c>
      <c r="O16" s="57">
        <f t="shared" si="6"/>
        <v>24867689.11670372</v>
      </c>
      <c r="P16" s="57">
        <f t="shared" si="6"/>
        <v>26731244.1041373</v>
      </c>
      <c r="Q16" s="192">
        <f t="shared" si="6"/>
        <v>28492221.756242573</v>
      </c>
      <c r="R16" s="192">
        <f t="shared" si="6"/>
        <v>30329045.705806583</v>
      </c>
      <c r="S16" s="192">
        <f t="shared" si="6"/>
        <v>32244543.74898255</v>
      </c>
      <c r="T16" s="192">
        <f t="shared" si="6"/>
        <v>34241641.7735818</v>
      </c>
      <c r="U16" s="192">
        <f t="shared" si="6"/>
        <v>36323367.02001014</v>
      </c>
      <c r="V16" s="57">
        <f t="shared" si="6"/>
        <v>38492851.44766867</v>
      </c>
    </row>
    <row r="17" spans="1:22" ht="38.25">
      <c r="A17" s="62">
        <v>4</v>
      </c>
      <c r="B17" s="56" t="s">
        <v>81</v>
      </c>
      <c r="C17" s="60">
        <v>0</v>
      </c>
      <c r="D17" s="60">
        <v>4152945</v>
      </c>
      <c r="E17" s="60">
        <v>1755236</v>
      </c>
      <c r="F17" s="60">
        <v>683857</v>
      </c>
      <c r="G17" s="60">
        <v>1801237</v>
      </c>
      <c r="H17" s="60">
        <f aca="true" t="shared" si="7" ref="H17:O17">G30</f>
        <v>0</v>
      </c>
      <c r="I17" s="60">
        <f t="shared" si="7"/>
        <v>0.15000000596046448</v>
      </c>
      <c r="J17" s="60">
        <f t="shared" si="7"/>
        <v>-0.2462499737739563</v>
      </c>
      <c r="K17" s="59">
        <f t="shared" si="7"/>
        <v>0.36759382486343384</v>
      </c>
      <c r="L17" s="60">
        <f t="shared" si="7"/>
        <v>-0.27717626094818115</v>
      </c>
      <c r="M17" s="60">
        <f t="shared" si="7"/>
        <v>0.3646247982978821</v>
      </c>
      <c r="N17" s="60">
        <f t="shared" si="7"/>
        <v>0.4062386453151703</v>
      </c>
      <c r="O17" s="60">
        <f t="shared" si="7"/>
        <v>-0.03125405311584473</v>
      </c>
      <c r="P17" s="60">
        <f aca="true" t="shared" si="8" ref="P17:V17">N30</f>
        <v>-0.03125405311584473</v>
      </c>
      <c r="Q17" s="193">
        <f t="shared" si="8"/>
        <v>0.08544966578483582</v>
      </c>
      <c r="R17" s="193">
        <f t="shared" si="8"/>
        <v>0.0728832483291626</v>
      </c>
      <c r="S17" s="193">
        <f t="shared" si="8"/>
        <v>-0.1583077609539032</v>
      </c>
      <c r="T17" s="193">
        <f t="shared" si="8"/>
        <v>-0.22131016850471497</v>
      </c>
      <c r="U17" s="193">
        <f t="shared" si="8"/>
        <v>-0.4093252122402191</v>
      </c>
      <c r="V17" s="60">
        <f t="shared" si="8"/>
        <v>-0.44772836565971375</v>
      </c>
    </row>
    <row r="18" spans="1:22" ht="51">
      <c r="A18" s="62" t="s">
        <v>82</v>
      </c>
      <c r="B18" s="56" t="s">
        <v>83</v>
      </c>
      <c r="C18" s="60">
        <v>0</v>
      </c>
      <c r="D18" s="60">
        <v>4152945</v>
      </c>
      <c r="E18" s="60">
        <v>1755236</v>
      </c>
      <c r="F18" s="60">
        <v>683857</v>
      </c>
      <c r="G18" s="60"/>
      <c r="H18" s="60"/>
      <c r="I18" s="60"/>
      <c r="J18" s="60"/>
      <c r="K18" s="59"/>
      <c r="L18" s="60"/>
      <c r="M18" s="60"/>
      <c r="N18" s="60"/>
      <c r="O18" s="60"/>
      <c r="P18" s="60"/>
      <c r="Q18" s="193"/>
      <c r="R18" s="57"/>
      <c r="S18" s="57"/>
      <c r="T18" s="57"/>
      <c r="U18" s="57"/>
      <c r="V18" s="57"/>
    </row>
    <row r="19" spans="1:22" ht="25.5">
      <c r="A19" s="62">
        <v>5</v>
      </c>
      <c r="B19" s="56" t="s">
        <v>84</v>
      </c>
      <c r="C19" s="60">
        <v>0</v>
      </c>
      <c r="D19" s="60">
        <v>2100000</v>
      </c>
      <c r="E19" s="60">
        <v>2100000</v>
      </c>
      <c r="F19" s="60">
        <v>2000000</v>
      </c>
      <c r="G19" s="60">
        <v>2000000</v>
      </c>
      <c r="H19" s="60">
        <v>0</v>
      </c>
      <c r="I19" s="60">
        <v>0</v>
      </c>
      <c r="J19" s="60">
        <v>0</v>
      </c>
      <c r="K19" s="59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60">
        <v>0</v>
      </c>
    </row>
    <row r="20" spans="1:22" ht="12.75">
      <c r="A20" s="55">
        <v>6</v>
      </c>
      <c r="B20" s="56" t="s">
        <v>85</v>
      </c>
      <c r="C20" s="57">
        <f aca="true" t="shared" si="9" ref="C20:I20">C16+C17+C19</f>
        <v>25805057</v>
      </c>
      <c r="D20" s="57">
        <f t="shared" si="9"/>
        <v>28941742</v>
      </c>
      <c r="E20" s="57">
        <f t="shared" si="9"/>
        <v>23676277</v>
      </c>
      <c r="F20" s="57">
        <f t="shared" si="9"/>
        <v>51690000</v>
      </c>
      <c r="G20" s="57">
        <f t="shared" si="9"/>
        <v>33240924</v>
      </c>
      <c r="H20" s="57">
        <f t="shared" si="9"/>
        <v>15260418.150000006</v>
      </c>
      <c r="I20" s="57">
        <f t="shared" si="9"/>
        <v>16079156.753750026</v>
      </c>
      <c r="J20" s="57">
        <f>J16+J17+J19+1</f>
        <v>14587232.367593825</v>
      </c>
      <c r="K20" s="59">
        <f>K16+K17+K19-1</f>
        <v>16787384.72282374</v>
      </c>
      <c r="L20" s="57">
        <f>L16+L17+L19+1</f>
        <v>18793223.3646248</v>
      </c>
      <c r="M20" s="57">
        <f aca="true" t="shared" si="10" ref="M20:V20">M16+M17+M19</f>
        <v>20885929.406238645</v>
      </c>
      <c r="N20" s="57">
        <f t="shared" si="10"/>
        <v>22914928.968745947</v>
      </c>
      <c r="O20" s="57">
        <f t="shared" si="10"/>
        <v>24867689.085449666</v>
      </c>
      <c r="P20" s="57">
        <f t="shared" si="10"/>
        <v>26731244.07288325</v>
      </c>
      <c r="Q20" s="192">
        <f t="shared" si="10"/>
        <v>28492221.84169224</v>
      </c>
      <c r="R20" s="192">
        <f t="shared" si="10"/>
        <v>30329045.77868983</v>
      </c>
      <c r="S20" s="192">
        <f t="shared" si="10"/>
        <v>32244543.590674788</v>
      </c>
      <c r="T20" s="192">
        <f t="shared" si="10"/>
        <v>34241641.552271634</v>
      </c>
      <c r="U20" s="192">
        <f t="shared" si="10"/>
        <v>36323366.61068493</v>
      </c>
      <c r="V20" s="57">
        <f t="shared" si="10"/>
        <v>38492850.999940306</v>
      </c>
    </row>
    <row r="21" spans="1:22" s="54" customFormat="1" ht="12.75">
      <c r="A21" s="63">
        <v>7</v>
      </c>
      <c r="B21" s="51" t="s">
        <v>86</v>
      </c>
      <c r="C21" s="52">
        <f aca="true" t="shared" si="11" ref="C21:V21">SUM(C22:C23)</f>
        <v>4175906</v>
      </c>
      <c r="D21" s="52">
        <f t="shared" si="11"/>
        <v>3855630</v>
      </c>
      <c r="E21" s="52">
        <f t="shared" si="11"/>
        <v>5072953</v>
      </c>
      <c r="F21" s="52">
        <f t="shared" si="11"/>
        <v>25254732</v>
      </c>
      <c r="G21" s="52">
        <f t="shared" si="11"/>
        <v>15795799</v>
      </c>
      <c r="H21" s="52">
        <f t="shared" si="11"/>
        <v>7701315</v>
      </c>
      <c r="I21" s="52">
        <f t="shared" si="11"/>
        <v>5169523</v>
      </c>
      <c r="J21" s="52">
        <f t="shared" si="11"/>
        <v>5969042</v>
      </c>
      <c r="K21" s="53">
        <f t="shared" si="11"/>
        <v>5727396</v>
      </c>
      <c r="L21" s="52">
        <f t="shared" si="11"/>
        <v>5506840</v>
      </c>
      <c r="M21" s="52">
        <f t="shared" si="11"/>
        <v>4998337</v>
      </c>
      <c r="N21" s="52">
        <f t="shared" si="11"/>
        <v>4687050</v>
      </c>
      <c r="O21" s="52">
        <f t="shared" si="11"/>
        <v>3708133</v>
      </c>
      <c r="P21" s="52">
        <f t="shared" si="11"/>
        <v>3551876</v>
      </c>
      <c r="Q21" s="191">
        <f t="shared" si="11"/>
        <v>3117333</v>
      </c>
      <c r="R21" s="191">
        <f t="shared" si="11"/>
        <v>286102</v>
      </c>
      <c r="S21" s="191">
        <f t="shared" si="11"/>
        <v>0</v>
      </c>
      <c r="T21" s="191">
        <f t="shared" si="11"/>
        <v>0</v>
      </c>
      <c r="U21" s="191">
        <f t="shared" si="11"/>
        <v>0</v>
      </c>
      <c r="V21" s="52">
        <f t="shared" si="11"/>
        <v>0</v>
      </c>
    </row>
    <row r="22" spans="1:22" s="68" customFormat="1" ht="38.25">
      <c r="A22" s="64" t="s">
        <v>87</v>
      </c>
      <c r="B22" s="65" t="s">
        <v>88</v>
      </c>
      <c r="C22" s="66">
        <v>3256004</v>
      </c>
      <c r="D22" s="66">
        <v>3238649</v>
      </c>
      <c r="E22" s="66">
        <v>3880159</v>
      </c>
      <c r="F22" s="66">
        <v>23326218</v>
      </c>
      <c r="G22" s="66">
        <v>13710515</v>
      </c>
      <c r="H22" s="66">
        <f>5822431-147800</f>
        <v>5674631</v>
      </c>
      <c r="I22" s="66">
        <f>3393186-147800+281877</f>
        <v>3527263</v>
      </c>
      <c r="J22" s="66">
        <f>4357953-147800+281877</f>
        <v>4492030</v>
      </c>
      <c r="K22" s="67">
        <f>4337665-147800+281877</f>
        <v>4471742</v>
      </c>
      <c r="L22" s="66">
        <f>4337663-147800+281877</f>
        <v>4471740</v>
      </c>
      <c r="M22" s="66">
        <f>4043556-147800+281877</f>
        <v>4177633</v>
      </c>
      <c r="N22" s="66">
        <f>3946480-147800+281877</f>
        <v>4080557</v>
      </c>
      <c r="O22" s="66">
        <f>3140971-147800+281877</f>
        <v>3275048</v>
      </c>
      <c r="P22" s="66">
        <f>3121685-147800+281877</f>
        <v>3255762</v>
      </c>
      <c r="Q22" s="194">
        <f>2848627-147800+281877</f>
        <v>2982704</v>
      </c>
      <c r="R22" s="66">
        <v>281874</v>
      </c>
      <c r="S22" s="66">
        <v>0</v>
      </c>
      <c r="T22" s="66">
        <v>0</v>
      </c>
      <c r="U22" s="66">
        <v>0</v>
      </c>
      <c r="V22" s="66">
        <v>0</v>
      </c>
    </row>
    <row r="23" spans="1:22" s="68" customFormat="1" ht="12.75">
      <c r="A23" s="64" t="s">
        <v>89</v>
      </c>
      <c r="B23" s="65" t="s">
        <v>90</v>
      </c>
      <c r="C23" s="66">
        <v>919902</v>
      </c>
      <c r="D23" s="66">
        <v>616981</v>
      </c>
      <c r="E23" s="66">
        <v>1192794</v>
      </c>
      <c r="F23" s="66">
        <v>1928514</v>
      </c>
      <c r="G23" s="66">
        <v>2085284</v>
      </c>
      <c r="H23" s="66">
        <v>2026684</v>
      </c>
      <c r="I23" s="66">
        <v>1642260</v>
      </c>
      <c r="J23" s="66">
        <v>1477012</v>
      </c>
      <c r="K23" s="67">
        <v>1255654</v>
      </c>
      <c r="L23" s="66">
        <v>1035100</v>
      </c>
      <c r="M23" s="66">
        <v>820704</v>
      </c>
      <c r="N23" s="66">
        <v>606493</v>
      </c>
      <c r="O23" s="66">
        <v>433085</v>
      </c>
      <c r="P23" s="66">
        <v>296114</v>
      </c>
      <c r="Q23" s="194">
        <v>134629</v>
      </c>
      <c r="R23" s="66">
        <v>4228</v>
      </c>
      <c r="S23" s="66">
        <v>0</v>
      </c>
      <c r="T23" s="66">
        <v>0</v>
      </c>
      <c r="U23" s="66">
        <v>0</v>
      </c>
      <c r="V23" s="66">
        <v>0</v>
      </c>
    </row>
    <row r="24" spans="1:22" ht="25.5">
      <c r="A24" s="55">
        <v>8</v>
      </c>
      <c r="B24" s="56" t="s">
        <v>91</v>
      </c>
      <c r="C24" s="57">
        <v>634705</v>
      </c>
      <c r="D24" s="57">
        <v>2100000</v>
      </c>
      <c r="E24" s="57">
        <v>3900000</v>
      </c>
      <c r="F24" s="57">
        <v>200000</v>
      </c>
      <c r="G24" s="57">
        <v>0</v>
      </c>
      <c r="H24" s="57">
        <v>0</v>
      </c>
      <c r="I24" s="57">
        <v>0</v>
      </c>
      <c r="J24" s="57">
        <v>0</v>
      </c>
      <c r="K24" s="59">
        <v>0</v>
      </c>
      <c r="L24" s="57">
        <v>0</v>
      </c>
      <c r="M24" s="57">
        <v>0</v>
      </c>
      <c r="N24" s="57">
        <v>0</v>
      </c>
      <c r="O24" s="57">
        <v>0</v>
      </c>
      <c r="P24" s="57"/>
      <c r="Q24" s="192"/>
      <c r="R24" s="57"/>
      <c r="S24" s="57"/>
      <c r="T24" s="57"/>
      <c r="U24" s="57"/>
      <c r="V24" s="57"/>
    </row>
    <row r="25" spans="1:22" ht="12.75">
      <c r="A25" s="55">
        <v>9</v>
      </c>
      <c r="B25" s="56" t="s">
        <v>92</v>
      </c>
      <c r="C25" s="57">
        <f aca="true" t="shared" si="12" ref="C25:Q25">C20-C21-C24</f>
        <v>20994446</v>
      </c>
      <c r="D25" s="57">
        <f t="shared" si="12"/>
        <v>22986112</v>
      </c>
      <c r="E25" s="57">
        <f t="shared" si="12"/>
        <v>14703324</v>
      </c>
      <c r="F25" s="57">
        <f t="shared" si="12"/>
        <v>26235268</v>
      </c>
      <c r="G25" s="57">
        <f t="shared" si="12"/>
        <v>17445125</v>
      </c>
      <c r="H25" s="57">
        <f t="shared" si="12"/>
        <v>7559103.150000006</v>
      </c>
      <c r="I25" s="57">
        <f t="shared" si="12"/>
        <v>10909633.753750026</v>
      </c>
      <c r="J25" s="57">
        <f t="shared" si="12"/>
        <v>8618190.367593825</v>
      </c>
      <c r="K25" s="59">
        <f t="shared" si="12"/>
        <v>11059988.722823739</v>
      </c>
      <c r="L25" s="57">
        <f t="shared" si="12"/>
        <v>13286383.364624798</v>
      </c>
      <c r="M25" s="57">
        <f t="shared" si="12"/>
        <v>15887592.406238645</v>
      </c>
      <c r="N25" s="57">
        <f t="shared" si="12"/>
        <v>18227878.968745947</v>
      </c>
      <c r="O25" s="57">
        <f t="shared" si="12"/>
        <v>21159556.085449666</v>
      </c>
      <c r="P25" s="57">
        <f t="shared" si="12"/>
        <v>23179368.07288325</v>
      </c>
      <c r="Q25" s="192">
        <f t="shared" si="12"/>
        <v>25374888.84169224</v>
      </c>
      <c r="R25" s="192">
        <f>R20-R21-R24</f>
        <v>30042943.77868983</v>
      </c>
      <c r="S25" s="192">
        <f>S20-S21-S24</f>
        <v>32244543.590674788</v>
      </c>
      <c r="T25" s="192">
        <f>T20-T21-T24</f>
        <v>34241641.552271634</v>
      </c>
      <c r="U25" s="192">
        <f>U20-U21-U24</f>
        <v>36323366.61068493</v>
      </c>
      <c r="V25" s="57">
        <f>V20-V21-V24</f>
        <v>38492850.999940306</v>
      </c>
    </row>
    <row r="26" spans="1:22" s="54" customFormat="1" ht="12.75">
      <c r="A26" s="50">
        <v>10</v>
      </c>
      <c r="B26" s="51" t="s">
        <v>93</v>
      </c>
      <c r="C26" s="52">
        <f>C27</f>
        <v>16841501</v>
      </c>
      <c r="D26" s="52">
        <f>D27</f>
        <v>28295151</v>
      </c>
      <c r="E26" s="52">
        <v>45079467</v>
      </c>
      <c r="F26" s="52">
        <v>42333191</v>
      </c>
      <c r="G26" s="69">
        <v>32862759</v>
      </c>
      <c r="H26" s="69">
        <v>10377870</v>
      </c>
      <c r="I26" s="52">
        <v>10909634</v>
      </c>
      <c r="J26" s="52">
        <v>8618190</v>
      </c>
      <c r="K26" s="53">
        <v>11059989</v>
      </c>
      <c r="L26" s="52">
        <v>13286383</v>
      </c>
      <c r="M26" s="52">
        <v>15887592</v>
      </c>
      <c r="N26" s="52">
        <v>18227879</v>
      </c>
      <c r="O26" s="52">
        <v>21159556</v>
      </c>
      <c r="P26" s="52">
        <v>23179368</v>
      </c>
      <c r="Q26" s="191">
        <v>25374889</v>
      </c>
      <c r="R26" s="52">
        <v>30042944</v>
      </c>
      <c r="S26" s="52">
        <v>32244544</v>
      </c>
      <c r="T26" s="52">
        <v>34241642</v>
      </c>
      <c r="U26" s="52">
        <v>36323367</v>
      </c>
      <c r="V26" s="52">
        <v>38492851</v>
      </c>
    </row>
    <row r="27" spans="1:22" ht="38.25">
      <c r="A27" s="55" t="s">
        <v>94</v>
      </c>
      <c r="B27" s="61" t="s">
        <v>95</v>
      </c>
      <c r="C27" s="57">
        <v>16841501</v>
      </c>
      <c r="D27" s="57">
        <v>28295151</v>
      </c>
      <c r="E27" s="57">
        <v>45079467</v>
      </c>
      <c r="F27" s="57">
        <v>9896440</v>
      </c>
      <c r="G27" s="60">
        <v>5339701</v>
      </c>
      <c r="H27" s="60">
        <v>9653818</v>
      </c>
      <c r="I27" s="60">
        <v>1767000</v>
      </c>
      <c r="J27" s="60"/>
      <c r="K27" s="59"/>
      <c r="L27" s="60"/>
      <c r="M27" s="60"/>
      <c r="N27" s="60"/>
      <c r="O27" s="60"/>
      <c r="P27" s="60"/>
      <c r="Q27" s="193"/>
      <c r="R27" s="57"/>
      <c r="S27" s="57"/>
      <c r="T27" s="57"/>
      <c r="U27" s="57"/>
      <c r="V27" s="57"/>
    </row>
    <row r="28" spans="1:22" s="54" customFormat="1" ht="25.5">
      <c r="A28" s="63">
        <v>11</v>
      </c>
      <c r="B28" s="51" t="s">
        <v>135</v>
      </c>
      <c r="C28" s="52">
        <v>0</v>
      </c>
      <c r="D28" s="52">
        <v>7064275</v>
      </c>
      <c r="E28" s="52">
        <v>31060000</v>
      </c>
      <c r="F28" s="52">
        <v>16097923</v>
      </c>
      <c r="G28" s="52">
        <v>15417634</v>
      </c>
      <c r="H28" s="52">
        <v>2818767</v>
      </c>
      <c r="I28" s="52"/>
      <c r="J28" s="52"/>
      <c r="K28" s="53"/>
      <c r="L28" s="52"/>
      <c r="M28" s="52"/>
      <c r="N28" s="52"/>
      <c r="O28" s="52"/>
      <c r="P28" s="52"/>
      <c r="Q28" s="191"/>
      <c r="R28" s="52"/>
      <c r="S28" s="52"/>
      <c r="T28" s="52"/>
      <c r="U28" s="52"/>
      <c r="V28" s="52"/>
    </row>
    <row r="29" spans="1:22" s="54" customFormat="1" ht="12.75">
      <c r="A29" s="90" t="s">
        <v>134</v>
      </c>
      <c r="B29" s="91" t="s">
        <v>136</v>
      </c>
      <c r="C29" s="58"/>
      <c r="D29" s="58"/>
      <c r="E29" s="58"/>
      <c r="F29" s="58"/>
      <c r="G29" s="58">
        <v>5508356</v>
      </c>
      <c r="H29" s="52"/>
      <c r="I29" s="52"/>
      <c r="J29" s="52"/>
      <c r="K29" s="53"/>
      <c r="L29" s="52"/>
      <c r="M29" s="52"/>
      <c r="N29" s="52"/>
      <c r="O29" s="52"/>
      <c r="P29" s="52"/>
      <c r="Q29" s="191"/>
      <c r="R29" s="52"/>
      <c r="S29" s="52"/>
      <c r="T29" s="52"/>
      <c r="U29" s="52"/>
      <c r="V29" s="52"/>
    </row>
    <row r="30" spans="1:22" ht="12.75">
      <c r="A30" s="55">
        <v>12</v>
      </c>
      <c r="B30" s="56" t="s">
        <v>96</v>
      </c>
      <c r="C30" s="57">
        <f aca="true" t="shared" si="13" ref="C30:V30">C25-C26+C28</f>
        <v>4152945</v>
      </c>
      <c r="D30" s="57">
        <f t="shared" si="13"/>
        <v>1755236</v>
      </c>
      <c r="E30" s="57">
        <f t="shared" si="13"/>
        <v>683857</v>
      </c>
      <c r="F30" s="57">
        <f t="shared" si="13"/>
        <v>0</v>
      </c>
      <c r="G30" s="57">
        <f t="shared" si="13"/>
        <v>0</v>
      </c>
      <c r="H30" s="60">
        <f t="shared" si="13"/>
        <v>0.15000000596046448</v>
      </c>
      <c r="I30" s="60">
        <f t="shared" si="13"/>
        <v>-0.2462499737739563</v>
      </c>
      <c r="J30" s="57">
        <f t="shared" si="13"/>
        <v>0.36759382486343384</v>
      </c>
      <c r="K30" s="59">
        <f t="shared" si="13"/>
        <v>-0.27717626094818115</v>
      </c>
      <c r="L30" s="57">
        <f t="shared" si="13"/>
        <v>0.3646247982978821</v>
      </c>
      <c r="M30" s="57">
        <f t="shared" si="13"/>
        <v>0.4062386453151703</v>
      </c>
      <c r="N30" s="57">
        <f t="shared" si="13"/>
        <v>-0.03125405311584473</v>
      </c>
      <c r="O30" s="57">
        <f t="shared" si="13"/>
        <v>0.08544966578483582</v>
      </c>
      <c r="P30" s="57">
        <f t="shared" si="13"/>
        <v>0.0728832483291626</v>
      </c>
      <c r="Q30" s="192">
        <f t="shared" si="13"/>
        <v>-0.1583077609539032</v>
      </c>
      <c r="R30" s="192">
        <f t="shared" si="13"/>
        <v>-0.22131016850471497</v>
      </c>
      <c r="S30" s="192">
        <f t="shared" si="13"/>
        <v>-0.4093252122402191</v>
      </c>
      <c r="T30" s="192">
        <f t="shared" si="13"/>
        <v>-0.44772836565971375</v>
      </c>
      <c r="U30" s="192">
        <f t="shared" si="13"/>
        <v>-0.38931506872177124</v>
      </c>
      <c r="V30" s="57">
        <f t="shared" si="13"/>
        <v>-5.969405174255371E-05</v>
      </c>
    </row>
    <row r="31" spans="1:22" ht="23.25" customHeight="1">
      <c r="A31" s="70"/>
      <c r="B31" s="71"/>
      <c r="C31" s="72"/>
      <c r="D31" s="72"/>
      <c r="E31" s="72"/>
      <c r="F31" s="72"/>
      <c r="G31" s="73"/>
      <c r="H31" s="73"/>
      <c r="I31" s="73"/>
      <c r="J31" s="72"/>
      <c r="K31" s="74"/>
      <c r="L31" s="72"/>
      <c r="M31" s="72"/>
      <c r="N31" s="72"/>
      <c r="O31" s="72"/>
      <c r="P31" s="75"/>
      <c r="Q31" s="72"/>
      <c r="R31" s="57"/>
      <c r="S31" s="57"/>
      <c r="T31" s="57"/>
      <c r="U31" s="57"/>
      <c r="V31" s="57"/>
    </row>
    <row r="32" spans="1:22" ht="23.25" customHeight="1">
      <c r="A32" s="208" t="s">
        <v>97</v>
      </c>
      <c r="B32" s="209"/>
      <c r="C32" s="57"/>
      <c r="D32" s="57"/>
      <c r="E32" s="57"/>
      <c r="F32" s="57"/>
      <c r="G32" s="60"/>
      <c r="H32" s="60"/>
      <c r="I32" s="60"/>
      <c r="J32" s="57"/>
      <c r="K32" s="59"/>
      <c r="L32" s="57"/>
      <c r="M32" s="57"/>
      <c r="N32" s="57"/>
      <c r="O32" s="57"/>
      <c r="P32" s="57"/>
      <c r="Q32" s="192"/>
      <c r="R32" s="57"/>
      <c r="S32" s="57"/>
      <c r="T32" s="57"/>
      <c r="U32" s="57"/>
      <c r="V32" s="57"/>
    </row>
    <row r="33" spans="1:22" s="68" customFormat="1" ht="12.75">
      <c r="A33" s="64">
        <v>13</v>
      </c>
      <c r="B33" s="65" t="s">
        <v>98</v>
      </c>
      <c r="C33" s="66">
        <v>13522494</v>
      </c>
      <c r="D33" s="66">
        <f>+C33+D28-D22</f>
        <v>17348120</v>
      </c>
      <c r="E33" s="66">
        <v>44420097</v>
      </c>
      <c r="F33" s="76">
        <v>36165098</v>
      </c>
      <c r="G33" s="76">
        <f aca="true" t="shared" si="14" ref="G33:V33">F33+G28-G22</f>
        <v>37872217</v>
      </c>
      <c r="H33" s="76">
        <f t="shared" si="14"/>
        <v>35016353</v>
      </c>
      <c r="I33" s="76">
        <f t="shared" si="14"/>
        <v>31489090</v>
      </c>
      <c r="J33" s="76">
        <f t="shared" si="14"/>
        <v>26997060</v>
      </c>
      <c r="K33" s="67">
        <f t="shared" si="14"/>
        <v>22525318</v>
      </c>
      <c r="L33" s="76">
        <f t="shared" si="14"/>
        <v>18053578</v>
      </c>
      <c r="M33" s="76">
        <f t="shared" si="14"/>
        <v>13875945</v>
      </c>
      <c r="N33" s="76">
        <f t="shared" si="14"/>
        <v>9795388</v>
      </c>
      <c r="O33" s="76">
        <f t="shared" si="14"/>
        <v>6520340</v>
      </c>
      <c r="P33" s="76">
        <f t="shared" si="14"/>
        <v>3264578</v>
      </c>
      <c r="Q33" s="195">
        <f t="shared" si="14"/>
        <v>281874</v>
      </c>
      <c r="R33" s="195">
        <f t="shared" si="14"/>
        <v>0</v>
      </c>
      <c r="S33" s="195">
        <f t="shared" si="14"/>
        <v>0</v>
      </c>
      <c r="T33" s="195">
        <f t="shared" si="14"/>
        <v>0</v>
      </c>
      <c r="U33" s="195">
        <f t="shared" si="14"/>
        <v>0</v>
      </c>
      <c r="V33" s="76">
        <f t="shared" si="14"/>
        <v>0</v>
      </c>
    </row>
    <row r="34" spans="1:22" ht="27" customHeight="1">
      <c r="A34" s="55" t="s">
        <v>99</v>
      </c>
      <c r="B34" s="56" t="s">
        <v>100</v>
      </c>
      <c r="C34" s="57"/>
      <c r="D34" s="57"/>
      <c r="E34" s="57"/>
      <c r="F34" s="57"/>
      <c r="G34" s="57"/>
      <c r="H34" s="57"/>
      <c r="I34" s="57"/>
      <c r="J34" s="57"/>
      <c r="K34" s="59"/>
      <c r="L34" s="57"/>
      <c r="M34" s="57"/>
      <c r="N34" s="57"/>
      <c r="O34" s="57"/>
      <c r="P34" s="57"/>
      <c r="Q34" s="192"/>
      <c r="R34" s="57"/>
      <c r="S34" s="57"/>
      <c r="T34" s="57"/>
      <c r="U34" s="57"/>
      <c r="V34" s="57"/>
    </row>
    <row r="35" spans="1:22" ht="38.25">
      <c r="A35" s="55" t="s">
        <v>101</v>
      </c>
      <c r="B35" s="56" t="s">
        <v>102</v>
      </c>
      <c r="C35" s="57"/>
      <c r="D35" s="57"/>
      <c r="E35" s="57"/>
      <c r="F35" s="57"/>
      <c r="G35" s="57"/>
      <c r="H35" s="57"/>
      <c r="I35" s="57"/>
      <c r="J35" s="57"/>
      <c r="K35" s="59"/>
      <c r="L35" s="57"/>
      <c r="M35" s="57"/>
      <c r="N35" s="57"/>
      <c r="O35" s="57"/>
      <c r="P35" s="57"/>
      <c r="Q35" s="192"/>
      <c r="R35" s="57"/>
      <c r="S35" s="57"/>
      <c r="T35" s="57"/>
      <c r="U35" s="57"/>
      <c r="V35" s="57"/>
    </row>
    <row r="36" spans="1:22" ht="24.75" customHeight="1">
      <c r="A36" s="55">
        <v>14</v>
      </c>
      <c r="B36" s="56" t="s">
        <v>103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8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77">
        <v>0</v>
      </c>
    </row>
    <row r="37" spans="1:22" ht="25.5">
      <c r="A37" s="55">
        <v>15</v>
      </c>
      <c r="B37" s="56" t="s">
        <v>104</v>
      </c>
      <c r="C37" s="79">
        <f aca="true" t="shared" si="15" ref="C37:V37">(C22+C23+C13-C34)/C6</f>
        <v>0.03214038806513095</v>
      </c>
      <c r="D37" s="79">
        <f t="shared" si="15"/>
        <v>0.027923386373280554</v>
      </c>
      <c r="E37" s="79">
        <f t="shared" si="15"/>
        <v>0.034690108197350564</v>
      </c>
      <c r="F37" s="79">
        <f t="shared" si="15"/>
        <v>0.14302584429025336</v>
      </c>
      <c r="G37" s="79">
        <f t="shared" si="15"/>
        <v>0.10108309329561378</v>
      </c>
      <c r="H37" s="79">
        <f t="shared" si="15"/>
        <v>0.0568842651627838</v>
      </c>
      <c r="I37" s="79">
        <f t="shared" si="15"/>
        <v>0.04018665192572074</v>
      </c>
      <c r="J37" s="79">
        <f t="shared" si="15"/>
        <v>0.04544076849158146</v>
      </c>
      <c r="K37" s="80">
        <f t="shared" si="15"/>
        <v>0.04280485614663901</v>
      </c>
      <c r="L37" s="79">
        <f t="shared" si="15"/>
        <v>0.03987436429067278</v>
      </c>
      <c r="M37" s="79">
        <f t="shared" si="15"/>
        <v>0.035438570294160913</v>
      </c>
      <c r="N37" s="79">
        <f t="shared" si="15"/>
        <v>0.030955210844047367</v>
      </c>
      <c r="O37" s="79">
        <f t="shared" si="15"/>
        <v>0.022524863936757976</v>
      </c>
      <c r="P37" s="79">
        <f t="shared" si="15"/>
        <v>0.02092967151059196</v>
      </c>
      <c r="Q37" s="197">
        <f t="shared" si="15"/>
        <v>0.017985955642498042</v>
      </c>
      <c r="R37" s="197">
        <f t="shared" si="15"/>
        <v>0.003082358608419925</v>
      </c>
      <c r="S37" s="197">
        <f t="shared" si="15"/>
        <v>0.0015205656819666231</v>
      </c>
      <c r="T37" s="197">
        <f t="shared" si="15"/>
        <v>0.0014048445855939676</v>
      </c>
      <c r="U37" s="197">
        <f t="shared" si="15"/>
        <v>0.0012991980534866048</v>
      </c>
      <c r="V37" s="79">
        <f t="shared" si="15"/>
        <v>0.000605990178007434</v>
      </c>
    </row>
    <row r="38" spans="1:22" s="85" customFormat="1" ht="38.25" hidden="1">
      <c r="A38" s="81"/>
      <c r="B38" s="82" t="s">
        <v>105</v>
      </c>
      <c r="C38" s="83">
        <f>+(C22+C23-C34+C13)/C6</f>
        <v>0.03214038806513095</v>
      </c>
      <c r="D38" s="83">
        <f>+(D22+D23-D34+D13)/D6</f>
        <v>0.027923386373280554</v>
      </c>
      <c r="E38" s="83">
        <f>+(E22+E23-E34+E13)/E6</f>
        <v>0.034690108197350564</v>
      </c>
      <c r="F38" s="83">
        <f>+(F22+F23-F34+F13)/F6</f>
        <v>0.14302584429025336</v>
      </c>
      <c r="G38" s="83">
        <f aca="true" t="shared" si="16" ref="G38:V38">+(G22+G23-G35)/G6</f>
        <v>0.09699118714308841</v>
      </c>
      <c r="H38" s="83">
        <f t="shared" si="16"/>
        <v>0.052403515743546965</v>
      </c>
      <c r="I38" s="83">
        <f t="shared" si="16"/>
        <v>0.034218692301307724</v>
      </c>
      <c r="J38" s="83">
        <f t="shared" si="16"/>
        <v>0.03902457019809779</v>
      </c>
      <c r="K38" s="84">
        <f t="shared" si="16"/>
        <v>0.036108708005769444</v>
      </c>
      <c r="L38" s="83">
        <f t="shared" si="16"/>
        <v>0.03354415421609891</v>
      </c>
      <c r="M38" s="83">
        <f t="shared" si="16"/>
        <v>0.02944553048548317</v>
      </c>
      <c r="N38" s="83">
        <f t="shared" si="16"/>
        <v>0.026729640261310042</v>
      </c>
      <c r="O38" s="83">
        <f t="shared" si="16"/>
        <v>0.020491282125583772</v>
      </c>
      <c r="P38" s="83">
        <f t="shared" si="16"/>
        <v>0.019037633442484558</v>
      </c>
      <c r="Q38" s="198">
        <f t="shared" si="16"/>
        <v>0.016221878233635287</v>
      </c>
      <c r="R38" s="198">
        <f t="shared" si="16"/>
        <v>0.0014454451265299203</v>
      </c>
      <c r="S38" s="198">
        <f t="shared" si="16"/>
        <v>0</v>
      </c>
      <c r="T38" s="198">
        <f t="shared" si="16"/>
        <v>0</v>
      </c>
      <c r="U38" s="198">
        <f t="shared" si="16"/>
        <v>0</v>
      </c>
      <c r="V38" s="83">
        <f t="shared" si="16"/>
        <v>0</v>
      </c>
    </row>
    <row r="39" spans="1:22" s="85" customFormat="1" ht="38.25" hidden="1">
      <c r="A39" s="81"/>
      <c r="B39" s="82" t="s">
        <v>106</v>
      </c>
      <c r="C39" s="83">
        <f aca="true" t="shared" si="17" ref="C39:V39">+(C7+C9-C48)/C6</f>
        <v>0.15244042780435202</v>
      </c>
      <c r="D39" s="83">
        <f t="shared" si="17"/>
        <v>0.058107581881293176</v>
      </c>
      <c r="E39" s="83">
        <f t="shared" si="17"/>
        <v>0.029059385789429654</v>
      </c>
      <c r="F39" s="83">
        <f t="shared" si="17"/>
        <v>0.020763387626235846</v>
      </c>
      <c r="G39" s="83">
        <f t="shared" si="17"/>
        <v>0.030888825691398742</v>
      </c>
      <c r="H39" s="83">
        <f t="shared" si="17"/>
        <v>0.08045940611778031</v>
      </c>
      <c r="I39" s="83">
        <f t="shared" si="17"/>
        <v>0.09556234156797763</v>
      </c>
      <c r="J39" s="83">
        <f t="shared" si="17"/>
        <v>0.0857123614866382</v>
      </c>
      <c r="K39" s="84">
        <f t="shared" si="17"/>
        <v>0.09792071584038238</v>
      </c>
      <c r="L39" s="83">
        <f t="shared" si="17"/>
        <v>0.10817114796961098</v>
      </c>
      <c r="M39" s="83">
        <f t="shared" si="17"/>
        <v>0.1182055542995442</v>
      </c>
      <c r="N39" s="83">
        <f t="shared" si="17"/>
        <v>0.12722212423132587</v>
      </c>
      <c r="O39" s="83">
        <f t="shared" si="17"/>
        <v>0.13502653938850806</v>
      </c>
      <c r="P39" s="83">
        <f t="shared" si="17"/>
        <v>0.14168915720226566</v>
      </c>
      <c r="Q39" s="198">
        <f t="shared" si="17"/>
        <v>0.14756633849857717</v>
      </c>
      <c r="R39" s="198">
        <f t="shared" si="17"/>
        <v>0.15320710783485036</v>
      </c>
      <c r="S39" s="198">
        <f t="shared" si="17"/>
        <v>0.15816111824314277</v>
      </c>
      <c r="T39" s="198">
        <f t="shared" si="17"/>
        <v>0.16306503405920209</v>
      </c>
      <c r="U39" s="198">
        <f t="shared" si="17"/>
        <v>0.167940383375362</v>
      </c>
      <c r="V39" s="83">
        <f t="shared" si="17"/>
        <v>0.1727873325984182</v>
      </c>
    </row>
    <row r="40" spans="1:23" ht="38.25">
      <c r="A40" s="55" t="s">
        <v>107</v>
      </c>
      <c r="B40" s="56" t="s">
        <v>108</v>
      </c>
      <c r="C40" s="86"/>
      <c r="D40" s="86"/>
      <c r="E40" s="86"/>
      <c r="F40" s="86">
        <f>+AVERAGE(C39:E39)</f>
        <v>0.07986913182502495</v>
      </c>
      <c r="G40" s="86">
        <f>+AVERAGE(D39,E39,F39)</f>
        <v>0.035976785098986226</v>
      </c>
      <c r="H40" s="86">
        <f>+AVERAGE(E39,F39,G39)</f>
        <v>0.026903866369021413</v>
      </c>
      <c r="I40" s="86">
        <f>+AVERAGE(F39,G39,H39)</f>
        <v>0.044037206478471626</v>
      </c>
      <c r="J40" s="86">
        <f aca="true" t="shared" si="18" ref="J40:P40">+AVERAGE(G39:I39)</f>
        <v>0.0689701911257189</v>
      </c>
      <c r="K40" s="87">
        <f t="shared" si="18"/>
        <v>0.08724470305746539</v>
      </c>
      <c r="L40" s="86">
        <f t="shared" si="18"/>
        <v>0.09306513963166607</v>
      </c>
      <c r="M40" s="86">
        <f t="shared" si="18"/>
        <v>0.0972680750988772</v>
      </c>
      <c r="N40" s="86">
        <f t="shared" si="18"/>
        <v>0.10809913936984585</v>
      </c>
      <c r="O40" s="86">
        <f t="shared" si="18"/>
        <v>0.11786627550016034</v>
      </c>
      <c r="P40" s="86">
        <f t="shared" si="18"/>
        <v>0.1268180726397927</v>
      </c>
      <c r="Q40" s="86">
        <f aca="true" t="shared" si="19" ref="Q40:V40">+AVERAGE(N39:P39)</f>
        <v>0.13464594027403318</v>
      </c>
      <c r="R40" s="86">
        <f t="shared" si="19"/>
        <v>0.14142734502978363</v>
      </c>
      <c r="S40" s="86">
        <f t="shared" si="19"/>
        <v>0.14748753451189775</v>
      </c>
      <c r="T40" s="86">
        <f t="shared" si="19"/>
        <v>0.15297818819219008</v>
      </c>
      <c r="U40" s="86">
        <f t="shared" si="19"/>
        <v>0.15814442004573173</v>
      </c>
      <c r="V40" s="86">
        <f t="shared" si="19"/>
        <v>0.16305551189256895</v>
      </c>
      <c r="W40" s="205"/>
    </row>
    <row r="41" spans="1:22" s="85" customFormat="1" ht="25.5" hidden="1">
      <c r="A41" s="81"/>
      <c r="B41" s="82" t="s">
        <v>109</v>
      </c>
      <c r="C41" s="83"/>
      <c r="D41" s="83"/>
      <c r="E41" s="83"/>
      <c r="F41" s="83"/>
      <c r="G41" s="83" t="e">
        <f>+AVERAGE(D39,F39,#REF!)</f>
        <v>#REF!</v>
      </c>
      <c r="H41" s="83" t="e">
        <f>+AVERAGE(F39,#REF!,G39)</f>
        <v>#REF!</v>
      </c>
      <c r="I41" s="83">
        <f>+AVERAGE(G39:H39)</f>
        <v>0.055674115904589525</v>
      </c>
      <c r="J41" s="83">
        <f aca="true" t="shared" si="20" ref="J41:O41">+AVERAGE(G39:I39)</f>
        <v>0.0689701911257189</v>
      </c>
      <c r="K41" s="88">
        <f t="shared" si="20"/>
        <v>0.08724470305746539</v>
      </c>
      <c r="L41" s="83">
        <f t="shared" si="20"/>
        <v>0.09306513963166607</v>
      </c>
      <c r="M41" s="83">
        <f t="shared" si="20"/>
        <v>0.0972680750988772</v>
      </c>
      <c r="N41" s="83">
        <f t="shared" si="20"/>
        <v>0.10809913936984585</v>
      </c>
      <c r="O41" s="83">
        <f t="shared" si="20"/>
        <v>0.11786627550016034</v>
      </c>
      <c r="P41" s="83">
        <f aca="true" t="shared" si="21" ref="P41:V41">+AVERAGE(L39:N39)</f>
        <v>0.11786627550016034</v>
      </c>
      <c r="Q41" s="198">
        <f t="shared" si="21"/>
        <v>0.1268180726397927</v>
      </c>
      <c r="R41" s="198">
        <f t="shared" si="21"/>
        <v>0.13464594027403318</v>
      </c>
      <c r="S41" s="198">
        <f t="shared" si="21"/>
        <v>0.14142734502978363</v>
      </c>
      <c r="T41" s="198">
        <f t="shared" si="21"/>
        <v>0.14748753451189775</v>
      </c>
      <c r="U41" s="198">
        <f t="shared" si="21"/>
        <v>0.15297818819219008</v>
      </c>
      <c r="V41" s="83">
        <f t="shared" si="21"/>
        <v>0.15814442004573173</v>
      </c>
    </row>
    <row r="42" spans="1:22" ht="25.5">
      <c r="A42" s="55">
        <v>16</v>
      </c>
      <c r="B42" s="56" t="s">
        <v>110</v>
      </c>
      <c r="C42" s="89" t="str">
        <f aca="true" t="shared" si="22" ref="C42:V42">IF(C37&lt;C40,"TAK","NIE")</f>
        <v>NIE</v>
      </c>
      <c r="D42" s="89" t="str">
        <f t="shared" si="22"/>
        <v>NIE</v>
      </c>
      <c r="E42" s="89" t="str">
        <f t="shared" si="22"/>
        <v>NIE</v>
      </c>
      <c r="F42" s="89" t="str">
        <f t="shared" si="22"/>
        <v>NIE</v>
      </c>
      <c r="G42" s="89" t="str">
        <f t="shared" si="22"/>
        <v>NIE</v>
      </c>
      <c r="H42" s="89" t="str">
        <f t="shared" si="22"/>
        <v>NIE</v>
      </c>
      <c r="I42" s="89" t="str">
        <f t="shared" si="22"/>
        <v>TAK</v>
      </c>
      <c r="J42" s="89" t="str">
        <f t="shared" si="22"/>
        <v>TAK</v>
      </c>
      <c r="K42" s="88" t="str">
        <f t="shared" si="22"/>
        <v>TAK</v>
      </c>
      <c r="L42" s="89" t="str">
        <f t="shared" si="22"/>
        <v>TAK</v>
      </c>
      <c r="M42" s="89" t="str">
        <f t="shared" si="22"/>
        <v>TAK</v>
      </c>
      <c r="N42" s="89" t="str">
        <f t="shared" si="22"/>
        <v>TAK</v>
      </c>
      <c r="O42" s="89" t="str">
        <f t="shared" si="22"/>
        <v>TAK</v>
      </c>
      <c r="P42" s="89" t="str">
        <f t="shared" si="22"/>
        <v>TAK</v>
      </c>
      <c r="Q42" s="199" t="str">
        <f t="shared" si="22"/>
        <v>TAK</v>
      </c>
      <c r="R42" s="199" t="str">
        <f t="shared" si="22"/>
        <v>TAK</v>
      </c>
      <c r="S42" s="199" t="str">
        <f t="shared" si="22"/>
        <v>TAK</v>
      </c>
      <c r="T42" s="199" t="str">
        <f t="shared" si="22"/>
        <v>TAK</v>
      </c>
      <c r="U42" s="199" t="str">
        <f t="shared" si="22"/>
        <v>TAK</v>
      </c>
      <c r="V42" s="89" t="str">
        <f t="shared" si="22"/>
        <v>TAK</v>
      </c>
    </row>
    <row r="43" spans="1:22" ht="31.5" customHeight="1">
      <c r="A43" s="90">
        <v>17</v>
      </c>
      <c r="B43" s="91" t="s">
        <v>111</v>
      </c>
      <c r="C43" s="89"/>
      <c r="D43" s="89"/>
      <c r="E43" s="89"/>
      <c r="F43" s="89">
        <v>9770000</v>
      </c>
      <c r="G43" s="175">
        <v>8400000</v>
      </c>
      <c r="H43" s="92"/>
      <c r="I43" s="92"/>
      <c r="J43" s="92"/>
      <c r="K43" s="84"/>
      <c r="L43" s="92"/>
      <c r="M43" s="92"/>
      <c r="N43" s="92"/>
      <c r="O43" s="92"/>
      <c r="P43" s="92"/>
      <c r="Q43" s="200"/>
      <c r="R43" s="204"/>
      <c r="S43" s="204"/>
      <c r="T43" s="204"/>
      <c r="U43" s="204"/>
      <c r="V43" s="204"/>
    </row>
    <row r="44" spans="1:22" ht="51">
      <c r="A44" s="55">
        <v>18</v>
      </c>
      <c r="B44" s="56" t="s">
        <v>137</v>
      </c>
      <c r="C44" s="93">
        <f>+C21/C6</f>
        <v>0.03214038806513095</v>
      </c>
      <c r="D44" s="93">
        <f>+D21/D6</f>
        <v>0.027923386373280554</v>
      </c>
      <c r="E44" s="93">
        <f>+E21/E6</f>
        <v>0.034690108197350564</v>
      </c>
      <c r="F44" s="93">
        <f>+F21/F6</f>
        <v>0.14069843735164145</v>
      </c>
      <c r="G44" s="93">
        <f aca="true" t="shared" si="23" ref="G44:V44">+(G21+G13-G34)/G6</f>
        <v>0.10108309329561378</v>
      </c>
      <c r="H44" s="93">
        <f t="shared" si="23"/>
        <v>0.0568842651627838</v>
      </c>
      <c r="I44" s="93">
        <f t="shared" si="23"/>
        <v>0.04018665192572074</v>
      </c>
      <c r="J44" s="93">
        <f t="shared" si="23"/>
        <v>0.04544076849158146</v>
      </c>
      <c r="K44" s="94">
        <f t="shared" si="23"/>
        <v>0.04280485614663901</v>
      </c>
      <c r="L44" s="93">
        <f t="shared" si="23"/>
        <v>0.03987436429067278</v>
      </c>
      <c r="M44" s="93">
        <f t="shared" si="23"/>
        <v>0.035438570294160913</v>
      </c>
      <c r="N44" s="93">
        <f t="shared" si="23"/>
        <v>0.030955210844047367</v>
      </c>
      <c r="O44" s="93">
        <f t="shared" si="23"/>
        <v>0.022524863936757976</v>
      </c>
      <c r="P44" s="93">
        <f t="shared" si="23"/>
        <v>0.02092967151059196</v>
      </c>
      <c r="Q44" s="201">
        <f t="shared" si="23"/>
        <v>0.017985955642498042</v>
      </c>
      <c r="R44" s="201">
        <f t="shared" si="23"/>
        <v>0.003082358608419925</v>
      </c>
      <c r="S44" s="201">
        <f t="shared" si="23"/>
        <v>0.0015205656819666231</v>
      </c>
      <c r="T44" s="201">
        <f t="shared" si="23"/>
        <v>0.0014048445855939676</v>
      </c>
      <c r="U44" s="201">
        <f t="shared" si="23"/>
        <v>0.0012991980534866048</v>
      </c>
      <c r="V44" s="93">
        <f t="shared" si="23"/>
        <v>0.000605990178007434</v>
      </c>
    </row>
    <row r="45" spans="1:22" ht="25.5" hidden="1">
      <c r="A45" s="55"/>
      <c r="B45" s="56" t="s">
        <v>112</v>
      </c>
      <c r="C45" s="95" t="str">
        <f aca="true" t="shared" si="24" ref="C45:Q45">IF(C37&lt;15%,"TAK","NIE")</f>
        <v>TAK</v>
      </c>
      <c r="D45" s="95" t="str">
        <f t="shared" si="24"/>
        <v>TAK</v>
      </c>
      <c r="E45" s="95" t="str">
        <f t="shared" si="24"/>
        <v>TAK</v>
      </c>
      <c r="F45" s="95" t="str">
        <f t="shared" si="24"/>
        <v>TAK</v>
      </c>
      <c r="G45" s="95" t="str">
        <f t="shared" si="24"/>
        <v>TAK</v>
      </c>
      <c r="H45" s="95" t="str">
        <f t="shared" si="24"/>
        <v>TAK</v>
      </c>
      <c r="I45" s="95" t="str">
        <f t="shared" si="24"/>
        <v>TAK</v>
      </c>
      <c r="J45" s="95" t="str">
        <f t="shared" si="24"/>
        <v>TAK</v>
      </c>
      <c r="K45" s="84" t="str">
        <f t="shared" si="24"/>
        <v>TAK</v>
      </c>
      <c r="L45" s="95" t="str">
        <f t="shared" si="24"/>
        <v>TAK</v>
      </c>
      <c r="M45" s="95" t="str">
        <f t="shared" si="24"/>
        <v>TAK</v>
      </c>
      <c r="N45" s="95" t="str">
        <f t="shared" si="24"/>
        <v>TAK</v>
      </c>
      <c r="O45" s="95" t="str">
        <f t="shared" si="24"/>
        <v>TAK</v>
      </c>
      <c r="P45" s="95" t="str">
        <f t="shared" si="24"/>
        <v>TAK</v>
      </c>
      <c r="Q45" s="202" t="str">
        <f t="shared" si="24"/>
        <v>TAK</v>
      </c>
      <c r="R45" s="204"/>
      <c r="S45" s="204"/>
      <c r="T45" s="204"/>
      <c r="U45" s="204"/>
      <c r="V45" s="204"/>
    </row>
    <row r="46" spans="1:22" ht="51">
      <c r="A46" s="55" t="s">
        <v>139</v>
      </c>
      <c r="B46" s="56" t="s">
        <v>138</v>
      </c>
      <c r="C46" s="95"/>
      <c r="D46" s="95"/>
      <c r="E46" s="95"/>
      <c r="F46" s="95"/>
      <c r="G46" s="176">
        <f>+(G21+G13-G43)/G6</f>
        <v>0.049504444314201534</v>
      </c>
      <c r="H46" s="176">
        <f aca="true" t="shared" si="25" ref="H46:P46">+(H21+H13-H43)/H6</f>
        <v>0.0568842651627838</v>
      </c>
      <c r="I46" s="176">
        <f t="shared" si="25"/>
        <v>0.04018665192572074</v>
      </c>
      <c r="J46" s="176">
        <f t="shared" si="25"/>
        <v>0.04544076849158146</v>
      </c>
      <c r="K46" s="176">
        <f t="shared" si="25"/>
        <v>0.04280485614663901</v>
      </c>
      <c r="L46" s="176">
        <f t="shared" si="25"/>
        <v>0.03987436429067278</v>
      </c>
      <c r="M46" s="176">
        <f t="shared" si="25"/>
        <v>0.035438570294160913</v>
      </c>
      <c r="N46" s="176">
        <f t="shared" si="25"/>
        <v>0.030955210844047367</v>
      </c>
      <c r="O46" s="176">
        <f t="shared" si="25"/>
        <v>0.022524863936757976</v>
      </c>
      <c r="P46" s="176">
        <f t="shared" si="25"/>
        <v>0.02092967151059196</v>
      </c>
      <c r="Q46" s="203">
        <f aca="true" t="shared" si="26" ref="Q46:V46">+(Q21+Q13-Q43)/Q6</f>
        <v>0.017985955642498042</v>
      </c>
      <c r="R46" s="203">
        <f t="shared" si="26"/>
        <v>0.003082358608419925</v>
      </c>
      <c r="S46" s="203">
        <f t="shared" si="26"/>
        <v>0.0015205656819666231</v>
      </c>
      <c r="T46" s="203">
        <f t="shared" si="26"/>
        <v>0.0014048445855939676</v>
      </c>
      <c r="U46" s="203">
        <f t="shared" si="26"/>
        <v>0.0012991980534866048</v>
      </c>
      <c r="V46" s="176">
        <f t="shared" si="26"/>
        <v>0.000605990178007434</v>
      </c>
    </row>
    <row r="47" spans="1:22" ht="25.5">
      <c r="A47" s="55">
        <v>19</v>
      </c>
      <c r="B47" s="56" t="s">
        <v>113</v>
      </c>
      <c r="C47" s="93">
        <f aca="true" t="shared" si="27" ref="C47:V47">+(C33-C34)/C6</f>
        <v>0.10407758334799798</v>
      </c>
      <c r="D47" s="93">
        <f t="shared" si="27"/>
        <v>0.1256391971247334</v>
      </c>
      <c r="E47" s="93">
        <f t="shared" si="27"/>
        <v>0.3037556175006564</v>
      </c>
      <c r="F47" s="93">
        <f t="shared" si="27"/>
        <v>0.20148195495675716</v>
      </c>
      <c r="G47" s="93">
        <f t="shared" si="27"/>
        <v>0.23254735557034212</v>
      </c>
      <c r="H47" s="93">
        <f t="shared" si="27"/>
        <v>0.2382684003598214</v>
      </c>
      <c r="I47" s="93">
        <f t="shared" si="27"/>
        <v>0.20843615195409443</v>
      </c>
      <c r="J47" s="93">
        <f t="shared" si="27"/>
        <v>0.17650213603996387</v>
      </c>
      <c r="K47" s="94">
        <f t="shared" si="27"/>
        <v>0.14201220421970168</v>
      </c>
      <c r="L47" s="93">
        <f t="shared" si="27"/>
        <v>0.10997087342003228</v>
      </c>
      <c r="M47" s="93">
        <f t="shared" si="27"/>
        <v>0.08174410039026736</v>
      </c>
      <c r="N47" s="93">
        <f t="shared" si="27"/>
        <v>0.055861831527283315</v>
      </c>
      <c r="O47" s="93">
        <f t="shared" si="27"/>
        <v>0.03603164355073804</v>
      </c>
      <c r="P47" s="93">
        <f t="shared" si="27"/>
        <v>0.017497750289818495</v>
      </c>
      <c r="Q47" s="201">
        <f t="shared" si="27"/>
        <v>0.001466806948512627</v>
      </c>
      <c r="R47" s="201">
        <f t="shared" si="27"/>
        <v>0</v>
      </c>
      <c r="S47" s="201">
        <f t="shared" si="27"/>
        <v>0</v>
      </c>
      <c r="T47" s="201">
        <f t="shared" si="27"/>
        <v>0</v>
      </c>
      <c r="U47" s="201">
        <f t="shared" si="27"/>
        <v>0</v>
      </c>
      <c r="V47" s="93">
        <f t="shared" si="27"/>
        <v>0</v>
      </c>
    </row>
    <row r="48" spans="1:22" ht="12.75">
      <c r="A48" s="55">
        <v>20</v>
      </c>
      <c r="B48" s="56" t="s">
        <v>114</v>
      </c>
      <c r="C48" s="77">
        <f aca="true" t="shared" si="28" ref="C48:V48">C10+C23</f>
        <v>105041901</v>
      </c>
      <c r="D48" s="77">
        <f t="shared" si="28"/>
        <v>116007067</v>
      </c>
      <c r="E48" s="77">
        <f t="shared" si="28"/>
        <v>127608051</v>
      </c>
      <c r="F48" s="77">
        <f t="shared" si="28"/>
        <v>132417840</v>
      </c>
      <c r="G48" s="57">
        <f t="shared" si="28"/>
        <v>135503682</v>
      </c>
      <c r="H48" s="57">
        <f t="shared" si="28"/>
        <v>133728065.85</v>
      </c>
      <c r="I48" s="57">
        <f t="shared" si="28"/>
        <v>136636176.39624998</v>
      </c>
      <c r="J48" s="57">
        <f t="shared" si="28"/>
        <v>139845776.30615622</v>
      </c>
      <c r="K48" s="59">
        <f t="shared" si="28"/>
        <v>143083637.4138101</v>
      </c>
      <c r="L48" s="57">
        <f t="shared" si="28"/>
        <v>146408782.99915534</v>
      </c>
      <c r="M48" s="57">
        <f t="shared" si="28"/>
        <v>149683355.39113507</v>
      </c>
      <c r="N48" s="57">
        <f t="shared" si="28"/>
        <v>153041848.0245223</v>
      </c>
      <c r="O48" s="57">
        <f t="shared" si="28"/>
        <v>156526888.54511085</v>
      </c>
      <c r="P48" s="57">
        <f t="shared" si="28"/>
        <v>160136168.83019352</v>
      </c>
      <c r="Q48" s="192">
        <f t="shared" si="28"/>
        <v>163810845.14611816</v>
      </c>
      <c r="R48" s="192">
        <f t="shared" si="28"/>
        <v>167608673.333625</v>
      </c>
      <c r="S48" s="192">
        <f t="shared" si="28"/>
        <v>171626952.021632</v>
      </c>
      <c r="T48" s="192">
        <f t="shared" si="28"/>
        <v>175745998.87015116</v>
      </c>
      <c r="U48" s="192">
        <f t="shared" si="28"/>
        <v>179963902.8430348</v>
      </c>
      <c r="V48" s="57">
        <f t="shared" si="28"/>
        <v>184283036.51126763</v>
      </c>
    </row>
    <row r="49" spans="1:22" ht="12.75">
      <c r="A49" s="55">
        <v>21</v>
      </c>
      <c r="B49" s="56" t="s">
        <v>115</v>
      </c>
      <c r="C49" s="77">
        <f aca="true" t="shared" si="29" ref="C49:Q49">C26+C48</f>
        <v>121883402</v>
      </c>
      <c r="D49" s="77">
        <f t="shared" si="29"/>
        <v>144302218</v>
      </c>
      <c r="E49" s="77">
        <f t="shared" si="29"/>
        <v>172687518</v>
      </c>
      <c r="F49" s="77">
        <f t="shared" si="29"/>
        <v>174751031</v>
      </c>
      <c r="G49" s="57">
        <f t="shared" si="29"/>
        <v>168366441</v>
      </c>
      <c r="H49" s="57">
        <f t="shared" si="29"/>
        <v>144105935.85</v>
      </c>
      <c r="I49" s="57">
        <f t="shared" si="29"/>
        <v>147545810.39624998</v>
      </c>
      <c r="J49" s="57">
        <f t="shared" si="29"/>
        <v>148463966.30615622</v>
      </c>
      <c r="K49" s="59">
        <f t="shared" si="29"/>
        <v>154143626.4138101</v>
      </c>
      <c r="L49" s="57">
        <f t="shared" si="29"/>
        <v>159695165.99915534</v>
      </c>
      <c r="M49" s="57">
        <f t="shared" si="29"/>
        <v>165570947.39113507</v>
      </c>
      <c r="N49" s="57">
        <f t="shared" si="29"/>
        <v>171269727.0245223</v>
      </c>
      <c r="O49" s="57">
        <f t="shared" si="29"/>
        <v>177686444.54511085</v>
      </c>
      <c r="P49" s="57">
        <f t="shared" si="29"/>
        <v>183315536.83019352</v>
      </c>
      <c r="Q49" s="192">
        <f t="shared" si="29"/>
        <v>189185734.14611816</v>
      </c>
      <c r="R49" s="192">
        <f>R26+R48</f>
        <v>197651617.333625</v>
      </c>
      <c r="S49" s="192">
        <f>S26+S48</f>
        <v>203871496.021632</v>
      </c>
      <c r="T49" s="192">
        <f>T26+T48</f>
        <v>209987640.87015116</v>
      </c>
      <c r="U49" s="192">
        <f>U26+U48</f>
        <v>216287269.8430348</v>
      </c>
      <c r="V49" s="57">
        <f>V26+V48</f>
        <v>222775887.51126763</v>
      </c>
    </row>
    <row r="50" spans="1:22" ht="25.5">
      <c r="A50" s="55">
        <v>22</v>
      </c>
      <c r="B50" s="56" t="s">
        <v>116</v>
      </c>
      <c r="C50" s="77">
        <f aca="true" t="shared" si="30" ref="C50:J50">C6-C49</f>
        <v>8043654</v>
      </c>
      <c r="D50" s="77">
        <f t="shared" si="30"/>
        <v>-6223335</v>
      </c>
      <c r="E50" s="77">
        <f t="shared" si="30"/>
        <v>-26451220</v>
      </c>
      <c r="F50" s="77">
        <f t="shared" si="30"/>
        <v>4744438</v>
      </c>
      <c r="G50" s="57">
        <f t="shared" si="30"/>
        <v>-5508356</v>
      </c>
      <c r="H50" s="57">
        <f t="shared" si="30"/>
        <v>2855864.150000006</v>
      </c>
      <c r="I50" s="57">
        <f t="shared" si="30"/>
        <v>3527262.6037500203</v>
      </c>
      <c r="J50" s="96">
        <f t="shared" si="30"/>
        <v>4492029.613843799</v>
      </c>
      <c r="K50" s="59">
        <f>K6-K49+1</f>
        <v>4471742.355229914</v>
      </c>
      <c r="L50" s="59">
        <f aca="true" t="shared" si="31" ref="L50:Q50">L6-L49</f>
        <v>4471739.641801059</v>
      </c>
      <c r="M50" s="57">
        <f t="shared" si="31"/>
        <v>4177633.041613847</v>
      </c>
      <c r="N50" s="57">
        <f t="shared" si="31"/>
        <v>4080556.5625073016</v>
      </c>
      <c r="O50" s="57">
        <f t="shared" si="31"/>
        <v>3275048.116703719</v>
      </c>
      <c r="P50" s="57">
        <f t="shared" si="31"/>
        <v>3255762.1041373014</v>
      </c>
      <c r="Q50" s="192">
        <f t="shared" si="31"/>
        <v>2982703.7562425733</v>
      </c>
      <c r="R50" s="192">
        <f>R6-R49</f>
        <v>281873.70580658317</v>
      </c>
      <c r="S50" s="192">
        <f>S6-S49</f>
        <v>-0.2510174512863159</v>
      </c>
      <c r="T50" s="192">
        <f>T6-T49</f>
        <v>-0.22641819715499878</v>
      </c>
      <c r="U50" s="192">
        <f>U6-U49</f>
        <v>0.020010143518447876</v>
      </c>
      <c r="V50" s="57">
        <f>V6-V49</f>
        <v>0.4476686716079712</v>
      </c>
    </row>
    <row r="51" spans="1:22" ht="12.75">
      <c r="A51" s="55">
        <v>23</v>
      </c>
      <c r="B51" s="56" t="s">
        <v>117</v>
      </c>
      <c r="C51" s="77">
        <f aca="true" t="shared" si="32" ref="C51:V51">C17+C19+C28</f>
        <v>0</v>
      </c>
      <c r="D51" s="77">
        <f t="shared" si="32"/>
        <v>13317220</v>
      </c>
      <c r="E51" s="77">
        <f t="shared" si="32"/>
        <v>34915236</v>
      </c>
      <c r="F51" s="77">
        <f t="shared" si="32"/>
        <v>18781780</v>
      </c>
      <c r="G51" s="57">
        <f t="shared" si="32"/>
        <v>19218871</v>
      </c>
      <c r="H51" s="57">
        <f t="shared" si="32"/>
        <v>2818767</v>
      </c>
      <c r="I51" s="57">
        <f t="shared" si="32"/>
        <v>0.15000000596046448</v>
      </c>
      <c r="J51" s="96">
        <f t="shared" si="32"/>
        <v>-0.2462499737739563</v>
      </c>
      <c r="K51" s="59">
        <f t="shared" si="32"/>
        <v>0.36759382486343384</v>
      </c>
      <c r="L51" s="59">
        <f t="shared" si="32"/>
        <v>-0.27717626094818115</v>
      </c>
      <c r="M51" s="57">
        <f t="shared" si="32"/>
        <v>0.3646247982978821</v>
      </c>
      <c r="N51" s="57">
        <f t="shared" si="32"/>
        <v>0.4062386453151703</v>
      </c>
      <c r="O51" s="57">
        <f t="shared" si="32"/>
        <v>-0.03125405311584473</v>
      </c>
      <c r="P51" s="57">
        <f t="shared" si="32"/>
        <v>-0.03125405311584473</v>
      </c>
      <c r="Q51" s="192">
        <f t="shared" si="32"/>
        <v>0.08544966578483582</v>
      </c>
      <c r="R51" s="192">
        <f t="shared" si="32"/>
        <v>0.0728832483291626</v>
      </c>
      <c r="S51" s="192">
        <f t="shared" si="32"/>
        <v>-0.1583077609539032</v>
      </c>
      <c r="T51" s="192">
        <f t="shared" si="32"/>
        <v>-0.22131016850471497</v>
      </c>
      <c r="U51" s="192">
        <f t="shared" si="32"/>
        <v>-0.4093252122402191</v>
      </c>
      <c r="V51" s="57">
        <f t="shared" si="32"/>
        <v>-0.44772836565971375</v>
      </c>
    </row>
    <row r="52" spans="1:22" ht="12.75">
      <c r="A52" s="55">
        <v>24</v>
      </c>
      <c r="B52" s="56" t="s">
        <v>118</v>
      </c>
      <c r="C52" s="77">
        <f aca="true" t="shared" si="33" ref="C52:V52">C22+C24</f>
        <v>3890709</v>
      </c>
      <c r="D52" s="77">
        <f t="shared" si="33"/>
        <v>5338649</v>
      </c>
      <c r="E52" s="77">
        <f t="shared" si="33"/>
        <v>7780159</v>
      </c>
      <c r="F52" s="77">
        <f t="shared" si="33"/>
        <v>23526218</v>
      </c>
      <c r="G52" s="57">
        <f t="shared" si="33"/>
        <v>13710515</v>
      </c>
      <c r="H52" s="57">
        <f t="shared" si="33"/>
        <v>5674631</v>
      </c>
      <c r="I52" s="57">
        <f t="shared" si="33"/>
        <v>3527263</v>
      </c>
      <c r="J52" s="96">
        <f t="shared" si="33"/>
        <v>4492030</v>
      </c>
      <c r="K52" s="59">
        <f t="shared" si="33"/>
        <v>4471742</v>
      </c>
      <c r="L52" s="59">
        <f t="shared" si="33"/>
        <v>4471740</v>
      </c>
      <c r="M52" s="57">
        <f t="shared" si="33"/>
        <v>4177633</v>
      </c>
      <c r="N52" s="57">
        <f t="shared" si="33"/>
        <v>4080557</v>
      </c>
      <c r="O52" s="57">
        <f t="shared" si="33"/>
        <v>3275048</v>
      </c>
      <c r="P52" s="57">
        <f t="shared" si="33"/>
        <v>3255762</v>
      </c>
      <c r="Q52" s="192">
        <f t="shared" si="33"/>
        <v>2982704</v>
      </c>
      <c r="R52" s="192">
        <f t="shared" si="33"/>
        <v>281874</v>
      </c>
      <c r="S52" s="192">
        <f t="shared" si="33"/>
        <v>0</v>
      </c>
      <c r="T52" s="192">
        <f t="shared" si="33"/>
        <v>0</v>
      </c>
      <c r="U52" s="192">
        <f t="shared" si="33"/>
        <v>0</v>
      </c>
      <c r="V52" s="57">
        <f t="shared" si="33"/>
        <v>0</v>
      </c>
    </row>
    <row r="53" spans="1:22" ht="12.75" hidden="1">
      <c r="A53" s="97">
        <v>24</v>
      </c>
      <c r="B53" s="98" t="s">
        <v>119</v>
      </c>
      <c r="C53" s="99">
        <f aca="true" t="shared" si="34" ref="C53:Q53">+C7-C48</f>
        <v>19161814</v>
      </c>
      <c r="D53" s="99">
        <f t="shared" si="34"/>
        <v>6695808</v>
      </c>
      <c r="E53" s="99">
        <f t="shared" si="34"/>
        <v>-714004</v>
      </c>
      <c r="F53" s="99">
        <f t="shared" si="34"/>
        <v>-751825</v>
      </c>
      <c r="G53" s="100">
        <f t="shared" si="34"/>
        <v>2337435</v>
      </c>
      <c r="H53" s="100">
        <f t="shared" si="34"/>
        <v>7824459.150000006</v>
      </c>
      <c r="I53" s="100">
        <f t="shared" si="34"/>
        <v>10436896.60375002</v>
      </c>
      <c r="J53" s="101">
        <f t="shared" si="34"/>
        <v>13110219.613843799</v>
      </c>
      <c r="K53" s="102">
        <f t="shared" si="34"/>
        <v>15531730.355229914</v>
      </c>
      <c r="L53" s="102">
        <f t="shared" si="34"/>
        <v>17758122.64180106</v>
      </c>
      <c r="M53" s="100">
        <f t="shared" si="34"/>
        <v>20065225.041613847</v>
      </c>
      <c r="N53" s="100">
        <f t="shared" si="34"/>
        <v>22308435.5625073</v>
      </c>
      <c r="O53" s="100">
        <f t="shared" si="34"/>
        <v>24434604.11670372</v>
      </c>
      <c r="P53" s="100">
        <f t="shared" si="34"/>
        <v>26435130.1041373</v>
      </c>
      <c r="Q53" s="100">
        <f t="shared" si="34"/>
        <v>28357592.756242573</v>
      </c>
      <c r="R53" s="57"/>
      <c r="S53" s="57"/>
      <c r="T53" s="57"/>
      <c r="U53" s="57"/>
      <c r="V53" s="57"/>
    </row>
    <row r="54" spans="1:22" ht="12.75" hidden="1">
      <c r="A54" s="97">
        <v>25</v>
      </c>
      <c r="B54" s="98" t="s">
        <v>120</v>
      </c>
      <c r="C54" s="99">
        <f aca="true" t="shared" si="35" ref="C54:Q54">+C7+C17-C48</f>
        <v>19161814</v>
      </c>
      <c r="D54" s="99">
        <f t="shared" si="35"/>
        <v>10848753</v>
      </c>
      <c r="E54" s="99">
        <f t="shared" si="35"/>
        <v>1041232</v>
      </c>
      <c r="F54" s="99">
        <f t="shared" si="35"/>
        <v>-67968</v>
      </c>
      <c r="G54" s="100">
        <f t="shared" si="35"/>
        <v>4138672</v>
      </c>
      <c r="H54" s="100">
        <f t="shared" si="35"/>
        <v>7824459.150000006</v>
      </c>
      <c r="I54" s="100">
        <f t="shared" si="35"/>
        <v>10436896.753750026</v>
      </c>
      <c r="J54" s="101">
        <f t="shared" si="35"/>
        <v>13110219.367593825</v>
      </c>
      <c r="K54" s="102">
        <f t="shared" si="35"/>
        <v>15531730.722823739</v>
      </c>
      <c r="L54" s="102">
        <f t="shared" si="35"/>
        <v>17758122.3646248</v>
      </c>
      <c r="M54" s="100">
        <f t="shared" si="35"/>
        <v>20065225.406238645</v>
      </c>
      <c r="N54" s="100">
        <f t="shared" si="35"/>
        <v>22308435.968745947</v>
      </c>
      <c r="O54" s="100">
        <f t="shared" si="35"/>
        <v>24434604.085449666</v>
      </c>
      <c r="P54" s="100">
        <f t="shared" si="35"/>
        <v>26435130.07288325</v>
      </c>
      <c r="Q54" s="100">
        <f t="shared" si="35"/>
        <v>28357592.84169224</v>
      </c>
      <c r="R54" s="57"/>
      <c r="S54" s="57"/>
      <c r="T54" s="57"/>
      <c r="U54" s="57"/>
      <c r="V54" s="57"/>
    </row>
    <row r="55" spans="1:22" ht="12.75" hidden="1">
      <c r="A55" s="97">
        <v>24</v>
      </c>
      <c r="B55" s="98" t="s">
        <v>121</v>
      </c>
      <c r="C55" s="99">
        <f aca="true" t="shared" si="36" ref="C55:Q55">+C7-C48</f>
        <v>19161814</v>
      </c>
      <c r="D55" s="99">
        <f t="shared" si="36"/>
        <v>6695808</v>
      </c>
      <c r="E55" s="99">
        <f t="shared" si="36"/>
        <v>-714004</v>
      </c>
      <c r="F55" s="99">
        <f t="shared" si="36"/>
        <v>-751825</v>
      </c>
      <c r="G55" s="100">
        <f t="shared" si="36"/>
        <v>2337435</v>
      </c>
      <c r="H55" s="100">
        <f t="shared" si="36"/>
        <v>7824459.150000006</v>
      </c>
      <c r="I55" s="100">
        <f t="shared" si="36"/>
        <v>10436896.60375002</v>
      </c>
      <c r="J55" s="101">
        <f t="shared" si="36"/>
        <v>13110219.613843799</v>
      </c>
      <c r="K55" s="102">
        <f t="shared" si="36"/>
        <v>15531730.355229914</v>
      </c>
      <c r="L55" s="102">
        <f t="shared" si="36"/>
        <v>17758122.64180106</v>
      </c>
      <c r="M55" s="100">
        <f t="shared" si="36"/>
        <v>20065225.041613847</v>
      </c>
      <c r="N55" s="100">
        <f t="shared" si="36"/>
        <v>22308435.5625073</v>
      </c>
      <c r="O55" s="100">
        <f t="shared" si="36"/>
        <v>24434604.11670372</v>
      </c>
      <c r="P55" s="100">
        <f t="shared" si="36"/>
        <v>26435130.1041373</v>
      </c>
      <c r="Q55" s="100">
        <f t="shared" si="36"/>
        <v>28357592.756242573</v>
      </c>
      <c r="R55" s="57"/>
      <c r="S55" s="57"/>
      <c r="T55" s="57"/>
      <c r="U55" s="57"/>
      <c r="V55" s="57"/>
    </row>
    <row r="56" spans="1:22" ht="12.75">
      <c r="A56" s="55">
        <v>25</v>
      </c>
      <c r="B56" s="103" t="s">
        <v>122</v>
      </c>
      <c r="C56" s="77"/>
      <c r="D56" s="77"/>
      <c r="E56" s="77"/>
      <c r="F56" s="77"/>
      <c r="G56" s="57"/>
      <c r="H56" s="57"/>
      <c r="I56" s="57"/>
      <c r="J56" s="96"/>
      <c r="K56" s="59"/>
      <c r="L56" s="59"/>
      <c r="M56" s="57"/>
      <c r="N56" s="57"/>
      <c r="O56" s="57"/>
      <c r="P56" s="57"/>
      <c r="Q56" s="192"/>
      <c r="R56" s="57"/>
      <c r="S56" s="57"/>
      <c r="T56" s="57"/>
      <c r="U56" s="57"/>
      <c r="V56" s="57"/>
    </row>
    <row r="57" spans="1:22" ht="12.75">
      <c r="A57" s="104"/>
      <c r="B57" s="103" t="s">
        <v>123</v>
      </c>
      <c r="C57" s="77"/>
      <c r="D57" s="77"/>
      <c r="E57" s="77"/>
      <c r="F57" s="57">
        <f>F50</f>
        <v>4744438</v>
      </c>
      <c r="G57" s="57"/>
      <c r="H57" s="57">
        <f aca="true" t="shared" si="37" ref="H57:V57">H50</f>
        <v>2855864.150000006</v>
      </c>
      <c r="I57" s="57">
        <f t="shared" si="37"/>
        <v>3527262.6037500203</v>
      </c>
      <c r="J57" s="96">
        <f t="shared" si="37"/>
        <v>4492029.613843799</v>
      </c>
      <c r="K57" s="59">
        <f t="shared" si="37"/>
        <v>4471742.355229914</v>
      </c>
      <c r="L57" s="59">
        <f t="shared" si="37"/>
        <v>4471739.641801059</v>
      </c>
      <c r="M57" s="57">
        <f t="shared" si="37"/>
        <v>4177633.041613847</v>
      </c>
      <c r="N57" s="57">
        <f t="shared" si="37"/>
        <v>4080556.5625073016</v>
      </c>
      <c r="O57" s="57">
        <f t="shared" si="37"/>
        <v>3275048.116703719</v>
      </c>
      <c r="P57" s="57">
        <f t="shared" si="37"/>
        <v>3255762.1041373014</v>
      </c>
      <c r="Q57" s="192">
        <f t="shared" si="37"/>
        <v>2982703.7562425733</v>
      </c>
      <c r="R57" s="192">
        <f t="shared" si="37"/>
        <v>281873.70580658317</v>
      </c>
      <c r="S57" s="192">
        <f t="shared" si="37"/>
        <v>-0.2510174512863159</v>
      </c>
      <c r="T57" s="192">
        <f t="shared" si="37"/>
        <v>-0.22641819715499878</v>
      </c>
      <c r="U57" s="192">
        <f t="shared" si="37"/>
        <v>0.020010143518447876</v>
      </c>
      <c r="V57" s="57">
        <f t="shared" si="37"/>
        <v>0.4476686716079712</v>
      </c>
    </row>
    <row r="58" spans="1:22" ht="12.75">
      <c r="A58" s="105"/>
      <c r="B58" s="103" t="s">
        <v>124</v>
      </c>
      <c r="C58" s="77"/>
      <c r="D58" s="77"/>
      <c r="E58" s="77"/>
      <c r="F58" s="77"/>
      <c r="G58" s="57"/>
      <c r="H58" s="57"/>
      <c r="I58" s="57"/>
      <c r="J58" s="57"/>
      <c r="K58" s="59"/>
      <c r="L58" s="57"/>
      <c r="M58" s="57"/>
      <c r="N58" s="57"/>
      <c r="O58" s="57"/>
      <c r="P58" s="57"/>
      <c r="Q58" s="192"/>
      <c r="R58" s="57"/>
      <c r="S58" s="57"/>
      <c r="T58" s="57"/>
      <c r="U58" s="57"/>
      <c r="V58" s="57"/>
    </row>
    <row r="59" spans="1:22" ht="12.75">
      <c r="A59" s="55">
        <v>26</v>
      </c>
      <c r="B59" s="103" t="s">
        <v>125</v>
      </c>
      <c r="C59" s="77"/>
      <c r="D59" s="77"/>
      <c r="E59" s="77"/>
      <c r="F59" s="77"/>
      <c r="G59" s="57"/>
      <c r="H59" s="57"/>
      <c r="I59" s="57"/>
      <c r="J59" s="57"/>
      <c r="K59" s="59"/>
      <c r="L59" s="57"/>
      <c r="M59" s="57"/>
      <c r="N59" s="57"/>
      <c r="O59" s="57"/>
      <c r="P59" s="57"/>
      <c r="Q59" s="192"/>
      <c r="R59" s="57"/>
      <c r="S59" s="57"/>
      <c r="T59" s="57"/>
      <c r="U59" s="57"/>
      <c r="V59" s="57"/>
    </row>
    <row r="60" spans="1:22" ht="12.75">
      <c r="A60" s="104"/>
      <c r="B60" s="103" t="s">
        <v>126</v>
      </c>
      <c r="C60" s="77"/>
      <c r="D60" s="77"/>
      <c r="E60" s="77"/>
      <c r="F60" s="57">
        <f>F51</f>
        <v>18781780</v>
      </c>
      <c r="G60" s="57">
        <v>13710515</v>
      </c>
      <c r="H60" s="57">
        <f>H57</f>
        <v>2855864.150000006</v>
      </c>
      <c r="I60" s="57">
        <f aca="true" t="shared" si="38" ref="I60:V60">I52</f>
        <v>3527263</v>
      </c>
      <c r="J60" s="57">
        <f t="shared" si="38"/>
        <v>4492030</v>
      </c>
      <c r="K60" s="59">
        <f t="shared" si="38"/>
        <v>4471742</v>
      </c>
      <c r="L60" s="57">
        <f t="shared" si="38"/>
        <v>4471740</v>
      </c>
      <c r="M60" s="57">
        <f t="shared" si="38"/>
        <v>4177633</v>
      </c>
      <c r="N60" s="57">
        <f t="shared" si="38"/>
        <v>4080557</v>
      </c>
      <c r="O60" s="57">
        <f t="shared" si="38"/>
        <v>3275048</v>
      </c>
      <c r="P60" s="57">
        <f t="shared" si="38"/>
        <v>3255762</v>
      </c>
      <c r="Q60" s="192">
        <f t="shared" si="38"/>
        <v>2982704</v>
      </c>
      <c r="R60" s="192">
        <f t="shared" si="38"/>
        <v>281874</v>
      </c>
      <c r="S60" s="192">
        <f t="shared" si="38"/>
        <v>0</v>
      </c>
      <c r="T60" s="192">
        <f t="shared" si="38"/>
        <v>0</v>
      </c>
      <c r="U60" s="192">
        <f t="shared" si="38"/>
        <v>0</v>
      </c>
      <c r="V60" s="57">
        <f t="shared" si="38"/>
        <v>0</v>
      </c>
    </row>
    <row r="61" spans="1:22" ht="12.75">
      <c r="A61" s="106"/>
      <c r="B61" s="103" t="s">
        <v>127</v>
      </c>
      <c r="C61" s="77"/>
      <c r="D61" s="77"/>
      <c r="E61" s="77"/>
      <c r="F61" s="77"/>
      <c r="G61" s="57"/>
      <c r="H61" s="57"/>
      <c r="I61" s="57"/>
      <c r="J61" s="57"/>
      <c r="K61" s="59"/>
      <c r="L61" s="57"/>
      <c r="M61" s="57"/>
      <c r="N61" s="57"/>
      <c r="O61" s="57"/>
      <c r="P61" s="57"/>
      <c r="Q61" s="192"/>
      <c r="R61" s="57"/>
      <c r="S61" s="57"/>
      <c r="T61" s="57"/>
      <c r="U61" s="57"/>
      <c r="V61" s="57"/>
    </row>
    <row r="62" spans="1:22" ht="12.75">
      <c r="A62" s="105"/>
      <c r="B62" s="103" t="s">
        <v>128</v>
      </c>
      <c r="C62" s="77"/>
      <c r="D62" s="77"/>
      <c r="E62" s="77"/>
      <c r="F62" s="77"/>
      <c r="G62" s="57"/>
      <c r="H62" s="57"/>
      <c r="I62" s="57"/>
      <c r="J62" s="57"/>
      <c r="K62" s="59"/>
      <c r="L62" s="57"/>
      <c r="M62" s="57"/>
      <c r="N62" s="57"/>
      <c r="O62" s="57"/>
      <c r="P62" s="57"/>
      <c r="Q62" s="192"/>
      <c r="R62" s="57"/>
      <c r="S62" s="57"/>
      <c r="T62" s="57"/>
      <c r="U62" s="57"/>
      <c r="V62" s="57"/>
    </row>
  </sheetData>
  <sheetProtection/>
  <mergeCells count="4">
    <mergeCell ref="A32:B32"/>
    <mergeCell ref="A5:B5"/>
    <mergeCell ref="U3:V3"/>
    <mergeCell ref="A3:T3"/>
  </mergeCells>
  <printOptions/>
  <pageMargins left="0.57" right="0.18" top="0.37" bottom="0.4724409448818898" header="0.5118110236220472" footer="0.5118110236220472"/>
  <pageSetup horizontalDpi="600" verticalDpi="600" orientation="landscape" paperSize="9" scale="55" r:id="rId1"/>
  <rowBreaks count="1" manualBreakCount="1">
    <brk id="3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3"/>
  <sheetViews>
    <sheetView view="pageBreakPreview" zoomScale="60" zoomScaleNormal="70" workbookViewId="0" topLeftCell="A31">
      <selection activeCell="M14" sqref="M14"/>
    </sheetView>
  </sheetViews>
  <sheetFormatPr defaultColWidth="9.140625" defaultRowHeight="12.75"/>
  <cols>
    <col min="1" max="1" width="48.7109375" style="2" customWidth="1"/>
    <col min="2" max="2" width="29.00390625" style="2" customWidth="1"/>
    <col min="3" max="3" width="15.28125" style="2" customWidth="1"/>
    <col min="4" max="5" width="9.140625" style="2" customWidth="1"/>
    <col min="6" max="6" width="23.421875" style="2" customWidth="1"/>
    <col min="7" max="7" width="13.00390625" style="2" hidden="1" customWidth="1"/>
    <col min="8" max="8" width="15.7109375" style="42" customWidth="1"/>
    <col min="9" max="23" width="15.7109375" style="2" customWidth="1"/>
    <col min="24" max="24" width="21.140625" style="2" customWidth="1"/>
    <col min="25" max="16384" width="9.140625" style="2" customWidth="1"/>
  </cols>
  <sheetData>
    <row r="1" spans="1:25" ht="18">
      <c r="A1" s="213" t="s">
        <v>157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2" t="s">
        <v>0</v>
      </c>
      <c r="X1" s="212"/>
      <c r="Y1" s="1"/>
    </row>
    <row r="2" spans="1:24" s="4" customFormat="1" ht="25.5" customHeight="1">
      <c r="A2" s="264" t="s">
        <v>1</v>
      </c>
      <c r="B2" s="265"/>
      <c r="C2" s="247" t="s">
        <v>2</v>
      </c>
      <c r="D2" s="268" t="s">
        <v>3</v>
      </c>
      <c r="E2" s="268"/>
      <c r="F2" s="247" t="s">
        <v>4</v>
      </c>
      <c r="G2" s="247" t="s">
        <v>5</v>
      </c>
      <c r="H2" s="269" t="s">
        <v>6</v>
      </c>
      <c r="I2" s="247" t="s">
        <v>7</v>
      </c>
      <c r="J2" s="247" t="s">
        <v>8</v>
      </c>
      <c r="K2" s="247" t="s">
        <v>9</v>
      </c>
      <c r="L2" s="218" t="s">
        <v>10</v>
      </c>
      <c r="M2" s="218" t="s">
        <v>11</v>
      </c>
      <c r="N2" s="218" t="s">
        <v>12</v>
      </c>
      <c r="O2" s="218" t="s">
        <v>13</v>
      </c>
      <c r="P2" s="218" t="s">
        <v>142</v>
      </c>
      <c r="Q2" s="218" t="s">
        <v>143</v>
      </c>
      <c r="R2" s="218" t="s">
        <v>144</v>
      </c>
      <c r="S2" s="218" t="s">
        <v>145</v>
      </c>
      <c r="T2" s="218" t="s">
        <v>146</v>
      </c>
      <c r="U2" s="218" t="s">
        <v>147</v>
      </c>
      <c r="V2" s="218" t="s">
        <v>148</v>
      </c>
      <c r="W2" s="218" t="s">
        <v>149</v>
      </c>
      <c r="X2" s="218" t="s">
        <v>14</v>
      </c>
    </row>
    <row r="3" spans="1:24" s="4" customFormat="1" ht="25.5" customHeight="1">
      <c r="A3" s="266"/>
      <c r="B3" s="267"/>
      <c r="C3" s="247"/>
      <c r="D3" s="3" t="s">
        <v>15</v>
      </c>
      <c r="E3" s="3" t="s">
        <v>16</v>
      </c>
      <c r="F3" s="247"/>
      <c r="G3" s="247"/>
      <c r="H3" s="269"/>
      <c r="I3" s="247"/>
      <c r="J3" s="247"/>
      <c r="K3" s="247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</row>
    <row r="4" spans="1:24" s="5" customFormat="1" ht="20.25" customHeight="1">
      <c r="A4" s="262" t="s">
        <v>17</v>
      </c>
      <c r="B4" s="263"/>
      <c r="F4" s="166">
        <f aca="true" t="shared" si="0" ref="F4:X4">F5+F6</f>
        <v>38329293.67</v>
      </c>
      <c r="G4" s="166">
        <f t="shared" si="0"/>
        <v>8571673</v>
      </c>
      <c r="H4" s="166">
        <f t="shared" si="0"/>
        <v>11677903</v>
      </c>
      <c r="I4" s="166">
        <f t="shared" si="0"/>
        <v>13311066.67</v>
      </c>
      <c r="J4" s="166">
        <f t="shared" si="0"/>
        <v>3309803</v>
      </c>
      <c r="K4" s="166">
        <f t="shared" si="0"/>
        <v>1023396</v>
      </c>
      <c r="L4" s="166">
        <f t="shared" si="0"/>
        <v>1062112</v>
      </c>
      <c r="M4" s="166">
        <f t="shared" si="0"/>
        <v>1039211</v>
      </c>
      <c r="N4" s="166">
        <f t="shared" si="0"/>
        <v>1017310</v>
      </c>
      <c r="O4" s="166">
        <f t="shared" si="0"/>
        <v>740955</v>
      </c>
      <c r="P4" s="166">
        <f t="shared" si="0"/>
        <v>368000</v>
      </c>
      <c r="Q4" s="166">
        <f t="shared" si="0"/>
        <v>353000</v>
      </c>
      <c r="R4" s="166">
        <f t="shared" si="0"/>
        <v>339000</v>
      </c>
      <c r="S4" s="166">
        <f t="shared" si="0"/>
        <v>324000</v>
      </c>
      <c r="T4" s="166">
        <f t="shared" si="0"/>
        <v>310000</v>
      </c>
      <c r="U4" s="166">
        <f t="shared" si="0"/>
        <v>295000</v>
      </c>
      <c r="V4" s="166">
        <f t="shared" si="0"/>
        <v>281000</v>
      </c>
      <c r="W4" s="166">
        <f t="shared" si="0"/>
        <v>135000</v>
      </c>
      <c r="X4" s="166">
        <f t="shared" si="0"/>
        <v>25704863</v>
      </c>
    </row>
    <row r="5" spans="1:24" s="8" customFormat="1" ht="18" customHeight="1">
      <c r="A5" s="133" t="s">
        <v>18</v>
      </c>
      <c r="B5" s="7"/>
      <c r="F5" s="167">
        <f aca="true" t="shared" si="1" ref="F5:X5">F8+F34+F45</f>
        <v>21568774.67</v>
      </c>
      <c r="G5" s="167">
        <f t="shared" si="1"/>
        <v>2739244</v>
      </c>
      <c r="H5" s="167">
        <f t="shared" si="1"/>
        <v>6338202</v>
      </c>
      <c r="I5" s="167">
        <f t="shared" si="1"/>
        <v>3657248.67</v>
      </c>
      <c r="J5" s="167">
        <f t="shared" si="1"/>
        <v>1542803</v>
      </c>
      <c r="K5" s="167">
        <f t="shared" si="1"/>
        <v>1023396</v>
      </c>
      <c r="L5" s="167">
        <f t="shared" si="1"/>
        <v>1062112</v>
      </c>
      <c r="M5" s="167">
        <f t="shared" si="1"/>
        <v>1039211</v>
      </c>
      <c r="N5" s="167">
        <f t="shared" si="1"/>
        <v>1017310</v>
      </c>
      <c r="O5" s="167">
        <f t="shared" si="1"/>
        <v>740955</v>
      </c>
      <c r="P5" s="167">
        <f t="shared" si="1"/>
        <v>368000</v>
      </c>
      <c r="Q5" s="167">
        <f t="shared" si="1"/>
        <v>353000</v>
      </c>
      <c r="R5" s="167">
        <f t="shared" si="1"/>
        <v>339000</v>
      </c>
      <c r="S5" s="167">
        <f t="shared" si="1"/>
        <v>324000</v>
      </c>
      <c r="T5" s="167">
        <f t="shared" si="1"/>
        <v>310000</v>
      </c>
      <c r="U5" s="167">
        <f t="shared" si="1"/>
        <v>295000</v>
      </c>
      <c r="V5" s="167">
        <f t="shared" si="1"/>
        <v>281000</v>
      </c>
      <c r="W5" s="167">
        <f t="shared" si="1"/>
        <v>135000</v>
      </c>
      <c r="X5" s="167">
        <f t="shared" si="1"/>
        <v>9008344</v>
      </c>
    </row>
    <row r="6" spans="1:24" s="10" customFormat="1" ht="18.75" customHeight="1">
      <c r="A6" s="134" t="s">
        <v>19</v>
      </c>
      <c r="B6" s="9"/>
      <c r="F6" s="168">
        <f aca="true" t="shared" si="2" ref="F6:X6">F9+F43</f>
        <v>16760519</v>
      </c>
      <c r="G6" s="168">
        <f t="shared" si="2"/>
        <v>5832429</v>
      </c>
      <c r="H6" s="168">
        <f t="shared" si="2"/>
        <v>5339701</v>
      </c>
      <c r="I6" s="168">
        <f t="shared" si="2"/>
        <v>9653818</v>
      </c>
      <c r="J6" s="168">
        <f t="shared" si="2"/>
        <v>1767000</v>
      </c>
      <c r="K6" s="168">
        <f t="shared" si="2"/>
        <v>0</v>
      </c>
      <c r="L6" s="168">
        <f t="shared" si="2"/>
        <v>0</v>
      </c>
      <c r="M6" s="168">
        <f t="shared" si="2"/>
        <v>0</v>
      </c>
      <c r="N6" s="168">
        <f t="shared" si="2"/>
        <v>0</v>
      </c>
      <c r="O6" s="168">
        <f t="shared" si="2"/>
        <v>0</v>
      </c>
      <c r="P6" s="168">
        <f t="shared" si="2"/>
        <v>0</v>
      </c>
      <c r="Q6" s="168">
        <f t="shared" si="2"/>
        <v>0</v>
      </c>
      <c r="R6" s="168">
        <f t="shared" si="2"/>
        <v>0</v>
      </c>
      <c r="S6" s="168">
        <f t="shared" si="2"/>
        <v>0</v>
      </c>
      <c r="T6" s="168">
        <f t="shared" si="2"/>
        <v>0</v>
      </c>
      <c r="U6" s="168">
        <f t="shared" si="2"/>
        <v>0</v>
      </c>
      <c r="V6" s="168">
        <f t="shared" si="2"/>
        <v>0</v>
      </c>
      <c r="W6" s="168">
        <f t="shared" si="2"/>
        <v>0</v>
      </c>
      <c r="X6" s="168">
        <f t="shared" si="2"/>
        <v>16696519</v>
      </c>
    </row>
    <row r="7" spans="1:24" s="11" customFormat="1" ht="18" customHeight="1">
      <c r="A7" s="248" t="s">
        <v>20</v>
      </c>
      <c r="B7" s="249"/>
      <c r="C7" s="250"/>
      <c r="F7" s="169">
        <f aca="true" t="shared" si="3" ref="F7:X7">F8+F9</f>
        <v>22548845.67</v>
      </c>
      <c r="G7" s="170">
        <f t="shared" si="3"/>
        <v>6075326</v>
      </c>
      <c r="H7" s="169">
        <f t="shared" si="3"/>
        <v>9198204</v>
      </c>
      <c r="I7" s="169">
        <f t="shared" si="3"/>
        <v>11201648.67</v>
      </c>
      <c r="J7" s="169">
        <f t="shared" si="3"/>
        <v>1906096</v>
      </c>
      <c r="K7" s="169">
        <f t="shared" si="3"/>
        <v>0</v>
      </c>
      <c r="L7" s="169">
        <f t="shared" si="3"/>
        <v>0</v>
      </c>
      <c r="M7" s="169">
        <f t="shared" si="3"/>
        <v>0</v>
      </c>
      <c r="N7" s="169">
        <f t="shared" si="3"/>
        <v>0</v>
      </c>
      <c r="O7" s="169">
        <f t="shared" si="3"/>
        <v>0</v>
      </c>
      <c r="P7" s="169"/>
      <c r="Q7" s="169"/>
      <c r="R7" s="169"/>
      <c r="S7" s="169"/>
      <c r="T7" s="169"/>
      <c r="U7" s="169"/>
      <c r="V7" s="169"/>
      <c r="W7" s="169"/>
      <c r="X7" s="169">
        <f t="shared" si="3"/>
        <v>20992863</v>
      </c>
    </row>
    <row r="8" spans="1:24" s="13" customFormat="1" ht="18" customHeight="1">
      <c r="A8" s="131" t="s">
        <v>18</v>
      </c>
      <c r="B8" s="12"/>
      <c r="F8" s="144">
        <f aca="true" t="shared" si="4" ref="F8:X8">F11+F22+F25</f>
        <v>5788326.67</v>
      </c>
      <c r="G8" s="144">
        <f t="shared" si="4"/>
        <v>242897</v>
      </c>
      <c r="H8" s="144">
        <f t="shared" si="4"/>
        <v>3858503</v>
      </c>
      <c r="I8" s="144">
        <f t="shared" si="4"/>
        <v>1547830.67</v>
      </c>
      <c r="J8" s="144">
        <f t="shared" si="4"/>
        <v>139096</v>
      </c>
      <c r="K8" s="144">
        <f t="shared" si="4"/>
        <v>0</v>
      </c>
      <c r="L8" s="144">
        <f t="shared" si="4"/>
        <v>0</v>
      </c>
      <c r="M8" s="144">
        <f t="shared" si="4"/>
        <v>0</v>
      </c>
      <c r="N8" s="144">
        <f t="shared" si="4"/>
        <v>0</v>
      </c>
      <c r="O8" s="144">
        <f t="shared" si="4"/>
        <v>0</v>
      </c>
      <c r="P8" s="144"/>
      <c r="Q8" s="144"/>
      <c r="R8" s="144"/>
      <c r="S8" s="144"/>
      <c r="T8" s="144"/>
      <c r="U8" s="144"/>
      <c r="V8" s="144"/>
      <c r="W8" s="144"/>
      <c r="X8" s="144">
        <f t="shared" si="4"/>
        <v>4296344</v>
      </c>
    </row>
    <row r="9" spans="1:24" s="15" customFormat="1" ht="17.25" customHeight="1">
      <c r="A9" s="132" t="s">
        <v>19</v>
      </c>
      <c r="B9" s="14"/>
      <c r="F9" s="145">
        <f aca="true" t="shared" si="5" ref="F9:X9">F17+F23+F29</f>
        <v>16760519</v>
      </c>
      <c r="G9" s="145">
        <f t="shared" si="5"/>
        <v>5832429</v>
      </c>
      <c r="H9" s="145">
        <f t="shared" si="5"/>
        <v>5339701</v>
      </c>
      <c r="I9" s="145">
        <f t="shared" si="5"/>
        <v>9653818</v>
      </c>
      <c r="J9" s="145">
        <f t="shared" si="5"/>
        <v>1767000</v>
      </c>
      <c r="K9" s="145">
        <f t="shared" si="5"/>
        <v>0</v>
      </c>
      <c r="L9" s="145">
        <f t="shared" si="5"/>
        <v>0</v>
      </c>
      <c r="M9" s="145">
        <f t="shared" si="5"/>
        <v>0</v>
      </c>
      <c r="N9" s="145">
        <f t="shared" si="5"/>
        <v>0</v>
      </c>
      <c r="O9" s="145">
        <f t="shared" si="5"/>
        <v>0</v>
      </c>
      <c r="P9" s="145"/>
      <c r="Q9" s="145"/>
      <c r="R9" s="145"/>
      <c r="S9" s="145"/>
      <c r="T9" s="145"/>
      <c r="U9" s="145"/>
      <c r="V9" s="145"/>
      <c r="W9" s="145"/>
      <c r="X9" s="145">
        <f t="shared" si="5"/>
        <v>16696519</v>
      </c>
    </row>
    <row r="10" spans="1:24" ht="33" customHeight="1">
      <c r="A10" s="237" t="s">
        <v>21</v>
      </c>
      <c r="B10" s="257"/>
      <c r="C10" s="238"/>
      <c r="F10" s="138">
        <f aca="true" t="shared" si="6" ref="F10:X10">F11+F17</f>
        <v>13860343.67</v>
      </c>
      <c r="G10" s="138">
        <f t="shared" si="6"/>
        <v>1385002</v>
      </c>
      <c r="H10" s="138">
        <f t="shared" si="6"/>
        <v>6545888</v>
      </c>
      <c r="I10" s="138">
        <f t="shared" si="6"/>
        <v>5508215.67</v>
      </c>
      <c r="J10" s="138">
        <f t="shared" si="6"/>
        <v>1806240</v>
      </c>
      <c r="K10" s="138">
        <f t="shared" si="6"/>
        <v>0</v>
      </c>
      <c r="L10" s="138">
        <f t="shared" si="6"/>
        <v>0</v>
      </c>
      <c r="M10" s="138">
        <f t="shared" si="6"/>
        <v>0</v>
      </c>
      <c r="N10" s="138">
        <f t="shared" si="6"/>
        <v>0</v>
      </c>
      <c r="O10" s="138">
        <f t="shared" si="6"/>
        <v>0</v>
      </c>
      <c r="P10" s="138"/>
      <c r="Q10" s="138"/>
      <c r="R10" s="138"/>
      <c r="S10" s="138"/>
      <c r="T10" s="138"/>
      <c r="U10" s="138"/>
      <c r="V10" s="138"/>
      <c r="W10" s="138"/>
      <c r="X10" s="138">
        <f t="shared" si="6"/>
        <v>13796344</v>
      </c>
    </row>
    <row r="11" spans="1:44" s="17" customFormat="1" ht="18" customHeight="1">
      <c r="A11" s="6" t="s">
        <v>18</v>
      </c>
      <c r="B11" s="16"/>
      <c r="F11" s="141">
        <f aca="true" t="shared" si="7" ref="F11:X11">F12+F14+F15+F16</f>
        <v>4296343.67</v>
      </c>
      <c r="G11" s="141">
        <f t="shared" si="7"/>
        <v>0</v>
      </c>
      <c r="H11" s="141">
        <f t="shared" si="7"/>
        <v>3223888</v>
      </c>
      <c r="I11" s="141">
        <f t="shared" si="7"/>
        <v>1033215.67</v>
      </c>
      <c r="J11" s="141">
        <f t="shared" si="7"/>
        <v>39240</v>
      </c>
      <c r="K11" s="141">
        <f t="shared" si="7"/>
        <v>0</v>
      </c>
      <c r="L11" s="141">
        <f t="shared" si="7"/>
        <v>0</v>
      </c>
      <c r="M11" s="141">
        <f t="shared" si="7"/>
        <v>0</v>
      </c>
      <c r="N11" s="141">
        <f t="shared" si="7"/>
        <v>0</v>
      </c>
      <c r="O11" s="141">
        <f t="shared" si="7"/>
        <v>0</v>
      </c>
      <c r="P11" s="141">
        <f t="shared" si="7"/>
        <v>0</v>
      </c>
      <c r="Q11" s="141">
        <f t="shared" si="7"/>
        <v>0</v>
      </c>
      <c r="R11" s="141">
        <f t="shared" si="7"/>
        <v>0</v>
      </c>
      <c r="S11" s="141">
        <f t="shared" si="7"/>
        <v>0</v>
      </c>
      <c r="T11" s="141">
        <f t="shared" si="7"/>
        <v>0</v>
      </c>
      <c r="U11" s="141">
        <f t="shared" si="7"/>
        <v>0</v>
      </c>
      <c r="V11" s="141">
        <f t="shared" si="7"/>
        <v>0</v>
      </c>
      <c r="W11" s="141">
        <f t="shared" si="7"/>
        <v>0</v>
      </c>
      <c r="X11" s="141">
        <f t="shared" si="7"/>
        <v>4296344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19" customFormat="1" ht="29.25" customHeight="1">
      <c r="A12" s="251" t="s">
        <v>22</v>
      </c>
      <c r="B12" s="252"/>
      <c r="C12" s="114" t="s">
        <v>23</v>
      </c>
      <c r="D12" s="118">
        <v>2012</v>
      </c>
      <c r="E12" s="118">
        <v>2013</v>
      </c>
      <c r="F12" s="135">
        <f>H12+I12</f>
        <v>3360270</v>
      </c>
      <c r="G12" s="136"/>
      <c r="H12" s="137">
        <v>2810130</v>
      </c>
      <c r="I12" s="137">
        <v>550140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37">
        <v>3360270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19" customFormat="1" ht="19.5" customHeight="1">
      <c r="A13" s="255" t="s">
        <v>129</v>
      </c>
      <c r="B13" s="256"/>
      <c r="C13" s="112"/>
      <c r="D13" s="119"/>
      <c r="E13" s="119"/>
      <c r="F13" s="125">
        <v>266181</v>
      </c>
      <c r="G13" s="110"/>
      <c r="H13" s="128">
        <v>122400</v>
      </c>
      <c r="I13" s="128">
        <v>143781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5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s="19" customFormat="1" ht="72" customHeight="1">
      <c r="A14" s="220" t="s">
        <v>150</v>
      </c>
      <c r="B14" s="221"/>
      <c r="C14" s="189" t="s">
        <v>23</v>
      </c>
      <c r="D14" s="178">
        <v>2012</v>
      </c>
      <c r="E14" s="178">
        <v>2014</v>
      </c>
      <c r="F14" s="184">
        <f>H14+I14+J14</f>
        <v>166564</v>
      </c>
      <c r="G14" s="179"/>
      <c r="H14" s="179">
        <v>42979</v>
      </c>
      <c r="I14" s="179">
        <v>84345</v>
      </c>
      <c r="J14" s="179">
        <v>39240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79">
        <v>166564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19" customFormat="1" ht="29.25" customHeight="1">
      <c r="A15" s="222" t="s">
        <v>130</v>
      </c>
      <c r="B15" s="223"/>
      <c r="C15" s="115" t="s">
        <v>24</v>
      </c>
      <c r="D15" s="120">
        <v>2012</v>
      </c>
      <c r="E15" s="120">
        <v>2013</v>
      </c>
      <c r="F15" s="138">
        <f>H15+I15</f>
        <v>110086.67</v>
      </c>
      <c r="G15" s="139"/>
      <c r="H15" s="140">
        <v>96504</v>
      </c>
      <c r="I15" s="140">
        <v>13582.67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40">
        <v>110087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19" customFormat="1" ht="29.25" customHeight="1">
      <c r="A16" s="222" t="s">
        <v>151</v>
      </c>
      <c r="B16" s="223"/>
      <c r="C16" s="115" t="s">
        <v>24</v>
      </c>
      <c r="D16" s="120">
        <v>2012</v>
      </c>
      <c r="E16" s="120">
        <v>2013</v>
      </c>
      <c r="F16" s="138">
        <f>H16+I16</f>
        <v>659423</v>
      </c>
      <c r="G16" s="139"/>
      <c r="H16" s="140">
        <v>274275</v>
      </c>
      <c r="I16" s="140">
        <v>385148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40">
        <v>659423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24" s="22" customFormat="1" ht="19.5" customHeight="1">
      <c r="A17" s="258" t="s">
        <v>19</v>
      </c>
      <c r="B17" s="259"/>
      <c r="C17" s="21"/>
      <c r="F17" s="147">
        <f>F18+F19</f>
        <v>9564000</v>
      </c>
      <c r="G17" s="147">
        <f>G18+G19</f>
        <v>1385002</v>
      </c>
      <c r="H17" s="147">
        <f>H18+H19</f>
        <v>3322000</v>
      </c>
      <c r="I17" s="147">
        <f>I18+I19</f>
        <v>4475000</v>
      </c>
      <c r="J17" s="147">
        <f>J18+J19</f>
        <v>1767000</v>
      </c>
      <c r="K17" s="147">
        <f>SUM(K18:K18)</f>
        <v>0</v>
      </c>
      <c r="L17" s="147">
        <f>SUM(L18:L18)</f>
        <v>0</v>
      </c>
      <c r="M17" s="147">
        <f>SUM(M18:M18)</f>
        <v>0</v>
      </c>
      <c r="N17" s="147">
        <f>SUM(N18:N18)</f>
        <v>0</v>
      </c>
      <c r="O17" s="147">
        <f>SUM(O18:O18)</f>
        <v>0</v>
      </c>
      <c r="P17" s="147"/>
      <c r="Q17" s="147"/>
      <c r="R17" s="147"/>
      <c r="S17" s="147"/>
      <c r="T17" s="147"/>
      <c r="U17" s="147"/>
      <c r="V17" s="147"/>
      <c r="W17" s="147"/>
      <c r="X17" s="147">
        <f>SUM(X18:X19)</f>
        <v>9500000</v>
      </c>
    </row>
    <row r="18" spans="1:24" s="24" customFormat="1" ht="29.25" customHeight="1">
      <c r="A18" s="260" t="s">
        <v>25</v>
      </c>
      <c r="B18" s="261"/>
      <c r="C18" s="115" t="s">
        <v>23</v>
      </c>
      <c r="D18" s="121">
        <v>2012</v>
      </c>
      <c r="E18" s="121">
        <v>2013</v>
      </c>
      <c r="F18" s="148">
        <v>6800000</v>
      </c>
      <c r="G18" s="148">
        <v>1385002</v>
      </c>
      <c r="H18" s="149">
        <v>3280000</v>
      </c>
      <c r="I18" s="148">
        <v>3520000</v>
      </c>
      <c r="J18" s="148"/>
      <c r="K18" s="148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40">
        <v>6800000</v>
      </c>
    </row>
    <row r="19" spans="1:24" s="24" customFormat="1" ht="53.25" customHeight="1">
      <c r="A19" s="253" t="s">
        <v>131</v>
      </c>
      <c r="B19" s="254"/>
      <c r="C19" s="114" t="s">
        <v>23</v>
      </c>
      <c r="D19" s="122">
        <v>2012</v>
      </c>
      <c r="E19" s="122">
        <v>2014</v>
      </c>
      <c r="F19" s="150">
        <v>2764000</v>
      </c>
      <c r="G19" s="151"/>
      <c r="H19" s="152">
        <v>42000</v>
      </c>
      <c r="I19" s="150">
        <v>955000</v>
      </c>
      <c r="J19" s="150">
        <v>1767000</v>
      </c>
      <c r="K19" s="151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37">
        <v>2700000</v>
      </c>
    </row>
    <row r="20" spans="1:24" s="24" customFormat="1" ht="18" customHeight="1">
      <c r="A20" s="255" t="s">
        <v>129</v>
      </c>
      <c r="B20" s="256"/>
      <c r="C20" s="107"/>
      <c r="D20" s="108"/>
      <c r="E20" s="108"/>
      <c r="F20" s="127">
        <v>452000</v>
      </c>
      <c r="G20" s="109"/>
      <c r="H20" s="129">
        <v>42000</v>
      </c>
      <c r="I20" s="127">
        <v>145000</v>
      </c>
      <c r="J20" s="127">
        <v>265000</v>
      </c>
      <c r="K20" s="109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0"/>
    </row>
    <row r="21" spans="1:24" ht="30.75" customHeight="1">
      <c r="A21" s="237" t="s">
        <v>26</v>
      </c>
      <c r="B21" s="238"/>
      <c r="C21" s="25"/>
      <c r="D21" s="26"/>
      <c r="E21" s="26"/>
      <c r="F21" s="138">
        <v>0</v>
      </c>
      <c r="G21" s="138">
        <f>+G22+G23</f>
        <v>0</v>
      </c>
      <c r="H21" s="149">
        <f>+H22+H23</f>
        <v>0</v>
      </c>
      <c r="I21" s="138">
        <f>+I22+I23</f>
        <v>0</v>
      </c>
      <c r="J21" s="138">
        <f>+J22+J23</f>
        <v>0</v>
      </c>
      <c r="K21" s="138">
        <f>+K22+K23</f>
        <v>0</v>
      </c>
      <c r="L21" s="156">
        <v>0</v>
      </c>
      <c r="M21" s="156">
        <v>0</v>
      </c>
      <c r="N21" s="156">
        <v>0</v>
      </c>
      <c r="O21" s="156">
        <v>0</v>
      </c>
      <c r="P21" s="156"/>
      <c r="Q21" s="156"/>
      <c r="R21" s="156"/>
      <c r="S21" s="156"/>
      <c r="T21" s="156"/>
      <c r="U21" s="156"/>
      <c r="V21" s="156"/>
      <c r="W21" s="156"/>
      <c r="X21" s="157">
        <f>SUM(G21:O21)</f>
        <v>0</v>
      </c>
    </row>
    <row r="22" spans="1:24" s="17" customFormat="1" ht="20.25" customHeight="1">
      <c r="A22" s="239" t="s">
        <v>18</v>
      </c>
      <c r="B22" s="240"/>
      <c r="C22" s="27"/>
      <c r="D22" s="27"/>
      <c r="E22" s="27"/>
      <c r="F22" s="158">
        <v>0</v>
      </c>
      <c r="G22" s="142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8">
        <f>SUM(G22:O22)</f>
        <v>0</v>
      </c>
    </row>
    <row r="23" spans="1:24" s="22" customFormat="1" ht="20.25" customHeight="1">
      <c r="A23" s="243" t="s">
        <v>19</v>
      </c>
      <c r="B23" s="244"/>
      <c r="C23" s="28"/>
      <c r="D23" s="28"/>
      <c r="E23" s="28"/>
      <c r="F23" s="147">
        <v>0</v>
      </c>
      <c r="G23" s="143">
        <v>0</v>
      </c>
      <c r="H23" s="147">
        <v>0</v>
      </c>
      <c r="I23" s="147">
        <v>0</v>
      </c>
      <c r="J23" s="147">
        <v>0</v>
      </c>
      <c r="K23" s="147">
        <v>0</v>
      </c>
      <c r="L23" s="160">
        <v>0</v>
      </c>
      <c r="M23" s="160">
        <v>0</v>
      </c>
      <c r="N23" s="160">
        <v>0</v>
      </c>
      <c r="O23" s="160">
        <v>0</v>
      </c>
      <c r="P23" s="160"/>
      <c r="Q23" s="160"/>
      <c r="R23" s="160"/>
      <c r="S23" s="160"/>
      <c r="T23" s="160"/>
      <c r="U23" s="160"/>
      <c r="V23" s="160"/>
      <c r="W23" s="160"/>
      <c r="X23" s="147">
        <f>SUM(G23:O23)</f>
        <v>0</v>
      </c>
    </row>
    <row r="24" spans="1:24" ht="28.5" customHeight="1">
      <c r="A24" s="237" t="s">
        <v>27</v>
      </c>
      <c r="B24" s="238"/>
      <c r="C24" s="29"/>
      <c r="D24" s="26"/>
      <c r="E24" s="26"/>
      <c r="F24" s="138">
        <f aca="true" t="shared" si="8" ref="F24:X24">F25+F29</f>
        <v>8688502</v>
      </c>
      <c r="G24" s="138">
        <f t="shared" si="8"/>
        <v>4690324</v>
      </c>
      <c r="H24" s="138">
        <f t="shared" si="8"/>
        <v>2652316</v>
      </c>
      <c r="I24" s="138">
        <f t="shared" si="8"/>
        <v>5693433</v>
      </c>
      <c r="J24" s="138">
        <f t="shared" si="8"/>
        <v>99856</v>
      </c>
      <c r="K24" s="138">
        <f t="shared" si="8"/>
        <v>0</v>
      </c>
      <c r="L24" s="138">
        <f t="shared" si="8"/>
        <v>0</v>
      </c>
      <c r="M24" s="138">
        <f t="shared" si="8"/>
        <v>0</v>
      </c>
      <c r="N24" s="138">
        <f t="shared" si="8"/>
        <v>0</v>
      </c>
      <c r="O24" s="138">
        <f t="shared" si="8"/>
        <v>0</v>
      </c>
      <c r="P24" s="138"/>
      <c r="Q24" s="138"/>
      <c r="R24" s="138"/>
      <c r="S24" s="138"/>
      <c r="T24" s="138"/>
      <c r="U24" s="138"/>
      <c r="V24" s="138"/>
      <c r="W24" s="138"/>
      <c r="X24" s="138">
        <f t="shared" si="8"/>
        <v>7196519</v>
      </c>
    </row>
    <row r="25" spans="1:24" s="17" customFormat="1" ht="21.75" customHeight="1">
      <c r="A25" s="239" t="s">
        <v>18</v>
      </c>
      <c r="B25" s="240"/>
      <c r="C25" s="27"/>
      <c r="D25" s="27"/>
      <c r="E25" s="27"/>
      <c r="F25" s="158">
        <f>F26+F27+F28</f>
        <v>1491983</v>
      </c>
      <c r="G25" s="158">
        <f>G26+G27+G28</f>
        <v>242897</v>
      </c>
      <c r="H25" s="158">
        <f>H26+H27+H28</f>
        <v>634615</v>
      </c>
      <c r="I25" s="158">
        <f>I26+I27+I28</f>
        <v>514615</v>
      </c>
      <c r="J25" s="158">
        <f aca="true" t="shared" si="9" ref="J25:X25">J26+J27</f>
        <v>99856</v>
      </c>
      <c r="K25" s="158">
        <f t="shared" si="9"/>
        <v>0</v>
      </c>
      <c r="L25" s="158">
        <f t="shared" si="9"/>
        <v>0</v>
      </c>
      <c r="M25" s="158">
        <f t="shared" si="9"/>
        <v>0</v>
      </c>
      <c r="N25" s="158">
        <f t="shared" si="9"/>
        <v>0</v>
      </c>
      <c r="O25" s="158">
        <f t="shared" si="9"/>
        <v>0</v>
      </c>
      <c r="P25" s="158"/>
      <c r="Q25" s="158"/>
      <c r="R25" s="158"/>
      <c r="S25" s="158"/>
      <c r="T25" s="158"/>
      <c r="U25" s="158"/>
      <c r="V25" s="158"/>
      <c r="W25" s="158"/>
      <c r="X25" s="158">
        <f t="shared" si="9"/>
        <v>0</v>
      </c>
    </row>
    <row r="26" spans="1:24" s="24" customFormat="1" ht="36.75" customHeight="1">
      <c r="A26" s="228" t="s">
        <v>28</v>
      </c>
      <c r="B26" s="229"/>
      <c r="C26" s="115" t="s">
        <v>23</v>
      </c>
      <c r="D26" s="121">
        <v>2011</v>
      </c>
      <c r="E26" s="121">
        <v>2013</v>
      </c>
      <c r="F26" s="148">
        <f>G26+H26+I26</f>
        <v>370968</v>
      </c>
      <c r="G26" s="148">
        <v>123656</v>
      </c>
      <c r="H26" s="149">
        <v>123656</v>
      </c>
      <c r="I26" s="148">
        <v>123656</v>
      </c>
      <c r="J26" s="148"/>
      <c r="K26" s="126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40">
        <v>0</v>
      </c>
    </row>
    <row r="27" spans="1:24" s="24" customFormat="1" ht="36.75" customHeight="1">
      <c r="A27" s="228" t="s">
        <v>29</v>
      </c>
      <c r="B27" s="229"/>
      <c r="C27" s="115" t="s">
        <v>23</v>
      </c>
      <c r="D27" s="121">
        <v>2011</v>
      </c>
      <c r="E27" s="121">
        <v>2014</v>
      </c>
      <c r="F27" s="148">
        <f>G27+H27+I27+J27</f>
        <v>521015</v>
      </c>
      <c r="G27" s="148">
        <v>119241</v>
      </c>
      <c r="H27" s="149">
        <v>150959</v>
      </c>
      <c r="I27" s="148">
        <v>150959</v>
      </c>
      <c r="J27" s="148">
        <v>99856</v>
      </c>
      <c r="K27" s="126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40">
        <v>0</v>
      </c>
    </row>
    <row r="28" spans="1:24" s="24" customFormat="1" ht="36.75" customHeight="1">
      <c r="A28" s="224" t="s">
        <v>133</v>
      </c>
      <c r="B28" s="225"/>
      <c r="C28" s="115" t="s">
        <v>23</v>
      </c>
      <c r="D28" s="121">
        <v>2012</v>
      </c>
      <c r="E28" s="121">
        <v>2013</v>
      </c>
      <c r="F28" s="148">
        <v>600000</v>
      </c>
      <c r="G28" s="148"/>
      <c r="H28" s="149">
        <v>360000</v>
      </c>
      <c r="I28" s="148">
        <v>240000</v>
      </c>
      <c r="J28" s="148"/>
      <c r="K28" s="126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40">
        <v>600000</v>
      </c>
    </row>
    <row r="29" spans="1:25" s="22" customFormat="1" ht="21" customHeight="1">
      <c r="A29" s="243" t="s">
        <v>19</v>
      </c>
      <c r="B29" s="244"/>
      <c r="C29" s="28"/>
      <c r="D29" s="28"/>
      <c r="E29" s="28"/>
      <c r="F29" s="147">
        <f>SUM(F30:F32)</f>
        <v>7196519</v>
      </c>
      <c r="G29" s="147">
        <f aca="true" t="shared" si="10" ref="G29:X29">SUM(G30:G32)</f>
        <v>4447427</v>
      </c>
      <c r="H29" s="147">
        <f t="shared" si="10"/>
        <v>2017701</v>
      </c>
      <c r="I29" s="147">
        <f t="shared" si="10"/>
        <v>5178818</v>
      </c>
      <c r="J29" s="147">
        <f t="shared" si="10"/>
        <v>0</v>
      </c>
      <c r="K29" s="147">
        <f t="shared" si="10"/>
        <v>0</v>
      </c>
      <c r="L29" s="147">
        <f t="shared" si="10"/>
        <v>0</v>
      </c>
      <c r="M29" s="147">
        <f t="shared" si="10"/>
        <v>0</v>
      </c>
      <c r="N29" s="147">
        <f t="shared" si="10"/>
        <v>0</v>
      </c>
      <c r="O29" s="147">
        <f t="shared" si="10"/>
        <v>0</v>
      </c>
      <c r="P29" s="147"/>
      <c r="Q29" s="147"/>
      <c r="R29" s="147"/>
      <c r="S29" s="147"/>
      <c r="T29" s="147"/>
      <c r="U29" s="147"/>
      <c r="V29" s="147"/>
      <c r="W29" s="147"/>
      <c r="X29" s="147">
        <f t="shared" si="10"/>
        <v>7196519</v>
      </c>
      <c r="Y29" s="30"/>
    </row>
    <row r="30" spans="1:24" s="31" customFormat="1" ht="35.25" customHeight="1">
      <c r="A30" s="235" t="s">
        <v>30</v>
      </c>
      <c r="B30" s="236"/>
      <c r="C30" s="116" t="s">
        <v>23</v>
      </c>
      <c r="D30" s="120">
        <v>2012</v>
      </c>
      <c r="E30" s="120">
        <v>2013</v>
      </c>
      <c r="F30" s="140">
        <f>H30+I30</f>
        <v>1385402</v>
      </c>
      <c r="G30" s="140">
        <v>4447427</v>
      </c>
      <c r="H30" s="161">
        <v>692701</v>
      </c>
      <c r="I30" s="140">
        <v>692701</v>
      </c>
      <c r="J30" s="140"/>
      <c r="K30" s="140"/>
      <c r="L30" s="140"/>
      <c r="M30" s="140"/>
      <c r="N30" s="140"/>
      <c r="O30" s="146"/>
      <c r="P30" s="146"/>
      <c r="Q30" s="146"/>
      <c r="R30" s="146"/>
      <c r="S30" s="146"/>
      <c r="T30" s="146"/>
      <c r="U30" s="146"/>
      <c r="V30" s="146"/>
      <c r="W30" s="146"/>
      <c r="X30" s="140">
        <v>1385402</v>
      </c>
    </row>
    <row r="31" spans="1:24" s="19" customFormat="1" ht="35.25" customHeight="1">
      <c r="A31" s="214" t="s">
        <v>140</v>
      </c>
      <c r="B31" s="215"/>
      <c r="C31" s="177" t="s">
        <v>23</v>
      </c>
      <c r="D31" s="178">
        <v>2013</v>
      </c>
      <c r="E31" s="178">
        <v>2013</v>
      </c>
      <c r="F31" s="139">
        <f>H31+I31</f>
        <v>3168937</v>
      </c>
      <c r="G31" s="179"/>
      <c r="H31" s="180">
        <v>0</v>
      </c>
      <c r="I31" s="179">
        <v>3168937</v>
      </c>
      <c r="J31" s="179"/>
      <c r="K31" s="179"/>
      <c r="L31" s="179"/>
      <c r="M31" s="179"/>
      <c r="N31" s="179"/>
      <c r="O31" s="181"/>
      <c r="P31" s="181"/>
      <c r="Q31" s="181"/>
      <c r="R31" s="181"/>
      <c r="S31" s="181"/>
      <c r="T31" s="181"/>
      <c r="U31" s="181"/>
      <c r="V31" s="181"/>
      <c r="W31" s="181"/>
      <c r="X31" s="179">
        <v>3168937</v>
      </c>
    </row>
    <row r="32" spans="1:24" s="31" customFormat="1" ht="35.25" customHeight="1">
      <c r="A32" s="245" t="s">
        <v>132</v>
      </c>
      <c r="B32" s="246"/>
      <c r="C32" s="116" t="s">
        <v>23</v>
      </c>
      <c r="D32" s="172">
        <v>2012</v>
      </c>
      <c r="E32" s="172">
        <v>2013</v>
      </c>
      <c r="F32" s="140">
        <f>H32+I32</f>
        <v>2642180</v>
      </c>
      <c r="G32" s="162"/>
      <c r="H32" s="173">
        <v>1325000</v>
      </c>
      <c r="I32" s="174">
        <v>1317180</v>
      </c>
      <c r="J32" s="162"/>
      <c r="K32" s="162"/>
      <c r="L32" s="162"/>
      <c r="M32" s="162"/>
      <c r="N32" s="162"/>
      <c r="O32" s="163"/>
      <c r="P32" s="163"/>
      <c r="Q32" s="163"/>
      <c r="R32" s="163"/>
      <c r="S32" s="163"/>
      <c r="T32" s="163"/>
      <c r="U32" s="163"/>
      <c r="V32" s="163"/>
      <c r="W32" s="163"/>
      <c r="X32" s="164">
        <v>2642180</v>
      </c>
    </row>
    <row r="33" spans="1:24" s="32" customFormat="1" ht="50.25" customHeight="1">
      <c r="A33" s="232" t="s">
        <v>31</v>
      </c>
      <c r="B33" s="233"/>
      <c r="C33" s="234"/>
      <c r="F33" s="169">
        <f aca="true" t="shared" si="11" ref="F33:X33">F34+F43</f>
        <v>5890208</v>
      </c>
      <c r="G33" s="170">
        <f t="shared" si="11"/>
        <v>2078588</v>
      </c>
      <c r="H33" s="169">
        <f t="shared" si="11"/>
        <v>1813299</v>
      </c>
      <c r="I33" s="169">
        <f t="shared" si="11"/>
        <v>1450919</v>
      </c>
      <c r="J33" s="169">
        <f t="shared" si="11"/>
        <v>502109</v>
      </c>
      <c r="K33" s="169">
        <f t="shared" si="11"/>
        <v>42000</v>
      </c>
      <c r="L33" s="169">
        <f t="shared" si="11"/>
        <v>0</v>
      </c>
      <c r="M33" s="169">
        <f t="shared" si="11"/>
        <v>0</v>
      </c>
      <c r="N33" s="169">
        <f t="shared" si="11"/>
        <v>0</v>
      </c>
      <c r="O33" s="169">
        <f t="shared" si="11"/>
        <v>0</v>
      </c>
      <c r="P33" s="169"/>
      <c r="Q33" s="169"/>
      <c r="R33" s="169"/>
      <c r="S33" s="169"/>
      <c r="T33" s="169"/>
      <c r="U33" s="169"/>
      <c r="V33" s="169"/>
      <c r="W33" s="169"/>
      <c r="X33" s="169">
        <f t="shared" si="11"/>
        <v>0</v>
      </c>
    </row>
    <row r="34" spans="1:24" s="34" customFormat="1" ht="22.5" customHeight="1">
      <c r="A34" s="241" t="s">
        <v>18</v>
      </c>
      <c r="B34" s="242"/>
      <c r="C34" s="33"/>
      <c r="D34" s="33"/>
      <c r="E34" s="33"/>
      <c r="F34" s="144">
        <f aca="true" t="shared" si="12" ref="F34:X34">SUM(F35:F42)</f>
        <v>5890208</v>
      </c>
      <c r="G34" s="165">
        <f t="shared" si="12"/>
        <v>2078588</v>
      </c>
      <c r="H34" s="144">
        <f t="shared" si="12"/>
        <v>1813299</v>
      </c>
      <c r="I34" s="144">
        <f t="shared" si="12"/>
        <v>1450919</v>
      </c>
      <c r="J34" s="144">
        <f t="shared" si="12"/>
        <v>502109</v>
      </c>
      <c r="K34" s="144">
        <f t="shared" si="12"/>
        <v>42000</v>
      </c>
      <c r="L34" s="144">
        <f t="shared" si="12"/>
        <v>0</v>
      </c>
      <c r="M34" s="144">
        <f t="shared" si="12"/>
        <v>0</v>
      </c>
      <c r="N34" s="144">
        <f t="shared" si="12"/>
        <v>0</v>
      </c>
      <c r="O34" s="144">
        <f t="shared" si="12"/>
        <v>0</v>
      </c>
      <c r="P34" s="144"/>
      <c r="Q34" s="144"/>
      <c r="R34" s="144"/>
      <c r="S34" s="144"/>
      <c r="T34" s="144"/>
      <c r="U34" s="144"/>
      <c r="V34" s="144"/>
      <c r="W34" s="144"/>
      <c r="X34" s="144">
        <f t="shared" si="12"/>
        <v>0</v>
      </c>
    </row>
    <row r="35" spans="1:24" s="24" customFormat="1" ht="27" customHeight="1">
      <c r="A35" s="228" t="s">
        <v>32</v>
      </c>
      <c r="B35" s="229"/>
      <c r="C35" s="115" t="s">
        <v>23</v>
      </c>
      <c r="D35" s="121">
        <v>2011</v>
      </c>
      <c r="E35" s="121">
        <v>2014</v>
      </c>
      <c r="F35" s="148">
        <f>G35+H35+I35+J35</f>
        <v>1558450</v>
      </c>
      <c r="G35" s="148">
        <v>637450</v>
      </c>
      <c r="H35" s="149">
        <v>307000</v>
      </c>
      <c r="I35" s="148">
        <v>307000</v>
      </c>
      <c r="J35" s="148">
        <v>307000</v>
      </c>
      <c r="K35" s="148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40">
        <v>0</v>
      </c>
    </row>
    <row r="36" spans="1:24" s="24" customFormat="1" ht="30">
      <c r="A36" s="235" t="s">
        <v>33</v>
      </c>
      <c r="B36" s="236"/>
      <c r="C36" s="115" t="s">
        <v>23</v>
      </c>
      <c r="D36" s="121">
        <v>2011</v>
      </c>
      <c r="E36" s="121">
        <v>2015</v>
      </c>
      <c r="F36" s="148">
        <v>672000</v>
      </c>
      <c r="G36" s="148">
        <v>126000</v>
      </c>
      <c r="H36" s="149">
        <v>168000</v>
      </c>
      <c r="I36" s="148">
        <v>168000</v>
      </c>
      <c r="J36" s="148">
        <v>168000</v>
      </c>
      <c r="K36" s="148">
        <v>42000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40">
        <v>0</v>
      </c>
    </row>
    <row r="37" spans="1:24" s="24" customFormat="1" ht="36.75" customHeight="1">
      <c r="A37" s="228" t="s">
        <v>34</v>
      </c>
      <c r="B37" s="229"/>
      <c r="C37" s="115" t="s">
        <v>23</v>
      </c>
      <c r="D37" s="121">
        <v>2010</v>
      </c>
      <c r="E37" s="121">
        <v>2013</v>
      </c>
      <c r="F37" s="148">
        <f>G37+H37+I37</f>
        <v>3437500</v>
      </c>
      <c r="G37" s="148">
        <v>1250000</v>
      </c>
      <c r="H37" s="149">
        <v>1250000</v>
      </c>
      <c r="I37" s="148">
        <v>937500</v>
      </c>
      <c r="J37" s="148"/>
      <c r="K37" s="148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40">
        <v>0</v>
      </c>
    </row>
    <row r="38" spans="1:24" s="24" customFormat="1" ht="30">
      <c r="A38" s="224" t="s">
        <v>35</v>
      </c>
      <c r="B38" s="225"/>
      <c r="C38" s="115" t="s">
        <v>23</v>
      </c>
      <c r="D38" s="121">
        <v>2011</v>
      </c>
      <c r="E38" s="121">
        <v>2014</v>
      </c>
      <c r="F38" s="148">
        <v>167680</v>
      </c>
      <c r="G38" s="148">
        <v>61738</v>
      </c>
      <c r="H38" s="149">
        <v>65880</v>
      </c>
      <c r="I38" s="148">
        <v>16000</v>
      </c>
      <c r="J38" s="148">
        <v>19920</v>
      </c>
      <c r="K38" s="148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40">
        <v>0</v>
      </c>
    </row>
    <row r="39" spans="1:24" s="24" customFormat="1" ht="30">
      <c r="A39" s="224" t="s">
        <v>36</v>
      </c>
      <c r="B39" s="225"/>
      <c r="C39" s="115" t="s">
        <v>23</v>
      </c>
      <c r="D39" s="121">
        <v>2011</v>
      </c>
      <c r="E39" s="121">
        <v>2013</v>
      </c>
      <c r="F39" s="148">
        <f>SUM(G39:I39)</f>
        <v>5000</v>
      </c>
      <c r="G39" s="148">
        <v>1000</v>
      </c>
      <c r="H39" s="149">
        <v>2000</v>
      </c>
      <c r="I39" s="148">
        <v>2000</v>
      </c>
      <c r="J39" s="148"/>
      <c r="K39" s="148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40">
        <v>0</v>
      </c>
    </row>
    <row r="40" spans="1:24" s="24" customFormat="1" ht="29.25" customHeight="1">
      <c r="A40" s="224" t="s">
        <v>37</v>
      </c>
      <c r="B40" s="225"/>
      <c r="C40" s="115" t="s">
        <v>23</v>
      </c>
      <c r="D40" s="121">
        <v>2011</v>
      </c>
      <c r="E40" s="121">
        <v>2013</v>
      </c>
      <c r="F40" s="148">
        <v>7920</v>
      </c>
      <c r="G40" s="148"/>
      <c r="H40" s="149">
        <v>2640</v>
      </c>
      <c r="I40" s="148">
        <v>2640</v>
      </c>
      <c r="J40" s="148"/>
      <c r="K40" s="148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40">
        <v>0</v>
      </c>
    </row>
    <row r="41" spans="1:24" s="24" customFormat="1" ht="29.25" customHeight="1">
      <c r="A41" s="224" t="s">
        <v>38</v>
      </c>
      <c r="B41" s="225"/>
      <c r="C41" s="115" t="s">
        <v>23</v>
      </c>
      <c r="D41" s="121">
        <v>2011</v>
      </c>
      <c r="E41" s="121">
        <v>2013</v>
      </c>
      <c r="F41" s="148">
        <v>11100</v>
      </c>
      <c r="G41" s="148"/>
      <c r="H41" s="149">
        <v>3700</v>
      </c>
      <c r="I41" s="148">
        <v>3700</v>
      </c>
      <c r="J41" s="148"/>
      <c r="K41" s="148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40">
        <v>0</v>
      </c>
    </row>
    <row r="42" spans="1:24" s="24" customFormat="1" ht="36.75" customHeight="1">
      <c r="A42" s="224" t="s">
        <v>39</v>
      </c>
      <c r="B42" s="225"/>
      <c r="C42" s="115" t="s">
        <v>23</v>
      </c>
      <c r="D42" s="121">
        <v>2011</v>
      </c>
      <c r="E42" s="121">
        <v>2014</v>
      </c>
      <c r="F42" s="148">
        <f>SUM(G42:I42)</f>
        <v>30558</v>
      </c>
      <c r="G42" s="148">
        <v>2400</v>
      </c>
      <c r="H42" s="149">
        <v>14079</v>
      </c>
      <c r="I42" s="148">
        <v>14079</v>
      </c>
      <c r="J42" s="148">
        <v>7189</v>
      </c>
      <c r="K42" s="148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40">
        <v>0</v>
      </c>
    </row>
    <row r="43" spans="1:24" s="37" customFormat="1" ht="19.5" customHeight="1">
      <c r="A43" s="230" t="s">
        <v>19</v>
      </c>
      <c r="B43" s="231"/>
      <c r="C43" s="35"/>
      <c r="D43" s="35"/>
      <c r="E43" s="35"/>
      <c r="F43" s="36"/>
      <c r="G43" s="36"/>
      <c r="H43" s="36"/>
      <c r="I43" s="130"/>
      <c r="J43" s="124"/>
      <c r="K43" s="3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147">
        <f>SUM(G43:O43)</f>
        <v>0</v>
      </c>
    </row>
    <row r="44" spans="1:24" s="11" customFormat="1" ht="33" customHeight="1">
      <c r="A44" s="232" t="s">
        <v>40</v>
      </c>
      <c r="B44" s="233"/>
      <c r="C44" s="234"/>
      <c r="F44" s="169">
        <f aca="true" t="shared" si="13" ref="F44:X44">F45</f>
        <v>9890240</v>
      </c>
      <c r="G44" s="170">
        <f t="shared" si="13"/>
        <v>417759</v>
      </c>
      <c r="H44" s="171">
        <f t="shared" si="13"/>
        <v>666400</v>
      </c>
      <c r="I44" s="169">
        <f t="shared" si="13"/>
        <v>658499</v>
      </c>
      <c r="J44" s="169">
        <f t="shared" si="13"/>
        <v>901598</v>
      </c>
      <c r="K44" s="169">
        <f t="shared" si="13"/>
        <v>981396</v>
      </c>
      <c r="L44" s="169">
        <f t="shared" si="13"/>
        <v>1062112</v>
      </c>
      <c r="M44" s="169">
        <f t="shared" si="13"/>
        <v>1039211</v>
      </c>
      <c r="N44" s="169">
        <f t="shared" si="13"/>
        <v>1017310</v>
      </c>
      <c r="O44" s="169">
        <f t="shared" si="13"/>
        <v>740955</v>
      </c>
      <c r="P44" s="169">
        <f t="shared" si="13"/>
        <v>368000</v>
      </c>
      <c r="Q44" s="169">
        <f t="shared" si="13"/>
        <v>353000</v>
      </c>
      <c r="R44" s="169">
        <f t="shared" si="13"/>
        <v>339000</v>
      </c>
      <c r="S44" s="169">
        <f t="shared" si="13"/>
        <v>324000</v>
      </c>
      <c r="T44" s="169">
        <f t="shared" si="13"/>
        <v>310000</v>
      </c>
      <c r="U44" s="169">
        <f t="shared" si="13"/>
        <v>295000</v>
      </c>
      <c r="V44" s="169">
        <f t="shared" si="13"/>
        <v>281000</v>
      </c>
      <c r="W44" s="169">
        <f t="shared" si="13"/>
        <v>135000</v>
      </c>
      <c r="X44" s="169">
        <f t="shared" si="13"/>
        <v>4712000</v>
      </c>
    </row>
    <row r="45" spans="1:25" s="34" customFormat="1" ht="18" customHeight="1">
      <c r="A45" s="131" t="s">
        <v>18</v>
      </c>
      <c r="B45" s="38"/>
      <c r="C45" s="33"/>
      <c r="D45" s="33"/>
      <c r="E45" s="33"/>
      <c r="F45" s="144">
        <f>F46+F47</f>
        <v>9890240</v>
      </c>
      <c r="G45" s="144">
        <f aca="true" t="shared" si="14" ref="G45:X45">G46+G47</f>
        <v>417759</v>
      </c>
      <c r="H45" s="144">
        <f t="shared" si="14"/>
        <v>666400</v>
      </c>
      <c r="I45" s="144">
        <f t="shared" si="14"/>
        <v>658499</v>
      </c>
      <c r="J45" s="144">
        <f t="shared" si="14"/>
        <v>901598</v>
      </c>
      <c r="K45" s="144">
        <f t="shared" si="14"/>
        <v>981396</v>
      </c>
      <c r="L45" s="144">
        <f t="shared" si="14"/>
        <v>1062112</v>
      </c>
      <c r="M45" s="144">
        <f t="shared" si="14"/>
        <v>1039211</v>
      </c>
      <c r="N45" s="144">
        <f t="shared" si="14"/>
        <v>1017310</v>
      </c>
      <c r="O45" s="144">
        <f t="shared" si="14"/>
        <v>740955</v>
      </c>
      <c r="P45" s="144">
        <f t="shared" si="14"/>
        <v>368000</v>
      </c>
      <c r="Q45" s="144">
        <f t="shared" si="14"/>
        <v>353000</v>
      </c>
      <c r="R45" s="144">
        <f t="shared" si="14"/>
        <v>339000</v>
      </c>
      <c r="S45" s="144">
        <f t="shared" si="14"/>
        <v>324000</v>
      </c>
      <c r="T45" s="144">
        <f t="shared" si="14"/>
        <v>310000</v>
      </c>
      <c r="U45" s="144">
        <f t="shared" si="14"/>
        <v>295000</v>
      </c>
      <c r="V45" s="144">
        <f t="shared" si="14"/>
        <v>281000</v>
      </c>
      <c r="W45" s="144">
        <f t="shared" si="14"/>
        <v>135000</v>
      </c>
      <c r="X45" s="144">
        <f t="shared" si="14"/>
        <v>4712000</v>
      </c>
      <c r="Y45" s="39">
        <f>Y46</f>
        <v>0</v>
      </c>
    </row>
    <row r="46" spans="1:24" ht="51" customHeight="1">
      <c r="A46" s="226" t="s">
        <v>41</v>
      </c>
      <c r="B46" s="227"/>
      <c r="C46" s="117" t="s">
        <v>23</v>
      </c>
      <c r="D46" s="123">
        <v>2011</v>
      </c>
      <c r="E46" s="123">
        <v>2019</v>
      </c>
      <c r="F46" s="138">
        <f>SUM(G46:O46)</f>
        <v>5178240</v>
      </c>
      <c r="G46" s="138">
        <v>417759</v>
      </c>
      <c r="H46" s="149">
        <v>666400</v>
      </c>
      <c r="I46" s="138">
        <v>658499</v>
      </c>
      <c r="J46" s="138">
        <v>650598</v>
      </c>
      <c r="K46" s="138">
        <v>541396</v>
      </c>
      <c r="L46" s="138">
        <v>636112</v>
      </c>
      <c r="M46" s="138">
        <v>628211</v>
      </c>
      <c r="N46" s="138">
        <v>620310</v>
      </c>
      <c r="O46" s="138">
        <v>358955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57">
        <v>0</v>
      </c>
    </row>
    <row r="47" spans="1:24" s="187" customFormat="1" ht="51" customHeight="1">
      <c r="A47" s="216" t="s">
        <v>141</v>
      </c>
      <c r="B47" s="217"/>
      <c r="C47" s="182" t="s">
        <v>23</v>
      </c>
      <c r="D47" s="183">
        <v>2014</v>
      </c>
      <c r="E47" s="183">
        <v>2027</v>
      </c>
      <c r="F47" s="184">
        <f>SUM(H47:W47)</f>
        <v>4712000</v>
      </c>
      <c r="G47" s="184"/>
      <c r="H47" s="185">
        <v>0</v>
      </c>
      <c r="I47" s="184">
        <v>0</v>
      </c>
      <c r="J47" s="184">
        <v>251000</v>
      </c>
      <c r="K47" s="184">
        <v>440000</v>
      </c>
      <c r="L47" s="184">
        <v>426000</v>
      </c>
      <c r="M47" s="184">
        <v>411000</v>
      </c>
      <c r="N47" s="184">
        <v>397000</v>
      </c>
      <c r="O47" s="184">
        <v>382000</v>
      </c>
      <c r="P47" s="184">
        <v>368000</v>
      </c>
      <c r="Q47" s="184">
        <v>353000</v>
      </c>
      <c r="R47" s="184">
        <v>339000</v>
      </c>
      <c r="S47" s="184">
        <v>324000</v>
      </c>
      <c r="T47" s="184">
        <v>310000</v>
      </c>
      <c r="U47" s="184">
        <v>295000</v>
      </c>
      <c r="V47" s="184">
        <v>281000</v>
      </c>
      <c r="W47" s="184">
        <v>135000</v>
      </c>
      <c r="X47" s="186">
        <v>4712000</v>
      </c>
    </row>
    <row r="48" spans="7:11" ht="15">
      <c r="G48" s="40"/>
      <c r="H48" s="41"/>
      <c r="I48" s="40"/>
      <c r="J48" s="40"/>
      <c r="K48" s="40"/>
    </row>
    <row r="49" spans="7:11" ht="15">
      <c r="G49" s="40"/>
      <c r="H49" s="41"/>
      <c r="I49" s="40"/>
      <c r="J49" s="40"/>
      <c r="K49" s="40"/>
    </row>
    <row r="50" spans="7:11" ht="15">
      <c r="G50" s="40"/>
      <c r="H50" s="41"/>
      <c r="I50" s="40"/>
      <c r="J50" s="40"/>
      <c r="K50" s="40"/>
    </row>
    <row r="51" spans="7:11" ht="15">
      <c r="G51" s="40"/>
      <c r="H51" s="41"/>
      <c r="I51" s="40"/>
      <c r="J51" s="40"/>
      <c r="K51" s="40"/>
    </row>
    <row r="52" spans="7:11" ht="15">
      <c r="G52" s="40"/>
      <c r="H52" s="41"/>
      <c r="I52" s="40"/>
      <c r="J52" s="40"/>
      <c r="K52" s="40"/>
    </row>
    <row r="53" spans="7:11" ht="15">
      <c r="G53" s="40"/>
      <c r="H53" s="41"/>
      <c r="I53" s="40"/>
      <c r="J53" s="40"/>
      <c r="K53" s="40"/>
    </row>
    <row r="54" spans="7:11" ht="15">
      <c r="G54" s="40"/>
      <c r="H54" s="41"/>
      <c r="I54" s="40"/>
      <c r="J54" s="40"/>
      <c r="K54" s="40"/>
    </row>
    <row r="55" spans="7:11" ht="15">
      <c r="G55" s="40"/>
      <c r="H55" s="41"/>
      <c r="I55" s="40"/>
      <c r="J55" s="40"/>
      <c r="K55" s="40"/>
    </row>
    <row r="56" spans="7:11" ht="15">
      <c r="G56" s="40"/>
      <c r="H56" s="41"/>
      <c r="I56" s="40"/>
      <c r="J56" s="40"/>
      <c r="K56" s="40"/>
    </row>
    <row r="57" spans="7:11" ht="15">
      <c r="G57" s="40"/>
      <c r="H57" s="41"/>
      <c r="I57" s="40"/>
      <c r="J57" s="40"/>
      <c r="K57" s="40"/>
    </row>
    <row r="58" spans="7:11" ht="15">
      <c r="G58" s="40"/>
      <c r="H58" s="41"/>
      <c r="I58" s="40"/>
      <c r="J58" s="40"/>
      <c r="K58" s="40"/>
    </row>
    <row r="59" spans="7:11" ht="15">
      <c r="G59" s="40"/>
      <c r="H59" s="41"/>
      <c r="I59" s="40"/>
      <c r="J59" s="40"/>
      <c r="K59" s="40"/>
    </row>
    <row r="60" spans="7:11" ht="15">
      <c r="G60" s="40"/>
      <c r="H60" s="41"/>
      <c r="I60" s="40"/>
      <c r="J60" s="40"/>
      <c r="K60" s="40"/>
    </row>
    <row r="61" spans="7:11" ht="15">
      <c r="G61" s="40"/>
      <c r="H61" s="41"/>
      <c r="I61" s="40"/>
      <c r="J61" s="40"/>
      <c r="K61" s="40"/>
    </row>
    <row r="62" spans="7:11" ht="15">
      <c r="G62" s="40"/>
      <c r="H62" s="41"/>
      <c r="I62" s="40"/>
      <c r="J62" s="40"/>
      <c r="K62" s="40"/>
    </row>
    <row r="63" spans="7:11" ht="15">
      <c r="G63" s="40"/>
      <c r="H63" s="41"/>
      <c r="I63" s="40"/>
      <c r="J63" s="40"/>
      <c r="K63" s="40"/>
    </row>
    <row r="64" spans="7:11" ht="15">
      <c r="G64" s="40"/>
      <c r="H64" s="41"/>
      <c r="I64" s="40"/>
      <c r="J64" s="40"/>
      <c r="K64" s="40"/>
    </row>
    <row r="65" spans="7:11" ht="15">
      <c r="G65" s="40"/>
      <c r="H65" s="41"/>
      <c r="I65" s="40"/>
      <c r="J65" s="40"/>
      <c r="K65" s="40"/>
    </row>
    <row r="66" spans="7:11" ht="15">
      <c r="G66" s="40"/>
      <c r="H66" s="41"/>
      <c r="I66" s="40"/>
      <c r="J66" s="40"/>
      <c r="K66" s="40"/>
    </row>
    <row r="67" spans="7:11" ht="15">
      <c r="G67" s="40"/>
      <c r="H67" s="41"/>
      <c r="I67" s="40"/>
      <c r="J67" s="40"/>
      <c r="K67" s="40"/>
    </row>
    <row r="68" spans="7:11" ht="15">
      <c r="G68" s="40"/>
      <c r="H68" s="41"/>
      <c r="I68" s="40"/>
      <c r="J68" s="40"/>
      <c r="K68" s="40"/>
    </row>
    <row r="69" spans="7:11" ht="15">
      <c r="G69" s="40"/>
      <c r="H69" s="41"/>
      <c r="I69" s="40"/>
      <c r="J69" s="40"/>
      <c r="K69" s="40"/>
    </row>
    <row r="70" spans="7:11" ht="15">
      <c r="G70" s="40"/>
      <c r="H70" s="41"/>
      <c r="I70" s="40"/>
      <c r="J70" s="40"/>
      <c r="K70" s="40"/>
    </row>
    <row r="71" spans="7:11" ht="15">
      <c r="G71" s="40"/>
      <c r="H71" s="41"/>
      <c r="I71" s="40"/>
      <c r="J71" s="40"/>
      <c r="K71" s="40"/>
    </row>
    <row r="72" spans="7:11" ht="15">
      <c r="G72" s="40"/>
      <c r="H72" s="41"/>
      <c r="I72" s="40"/>
      <c r="J72" s="40"/>
      <c r="K72" s="40"/>
    </row>
    <row r="73" spans="7:11" ht="15">
      <c r="G73" s="40"/>
      <c r="H73" s="41"/>
      <c r="I73" s="40"/>
      <c r="J73" s="40"/>
      <c r="K73" s="40"/>
    </row>
    <row r="74" spans="7:11" ht="15">
      <c r="G74" s="40"/>
      <c r="H74" s="41"/>
      <c r="I74" s="40"/>
      <c r="J74" s="40"/>
      <c r="K74" s="40"/>
    </row>
    <row r="75" spans="7:11" ht="15">
      <c r="G75" s="40"/>
      <c r="H75" s="41"/>
      <c r="I75" s="40"/>
      <c r="J75" s="40"/>
      <c r="K75" s="40"/>
    </row>
    <row r="76" spans="7:11" ht="15">
      <c r="G76" s="40"/>
      <c r="H76" s="41"/>
      <c r="I76" s="40"/>
      <c r="J76" s="40"/>
      <c r="K76" s="40"/>
    </row>
    <row r="77" spans="7:11" ht="15">
      <c r="G77" s="40"/>
      <c r="H77" s="41"/>
      <c r="I77" s="40"/>
      <c r="J77" s="40"/>
      <c r="K77" s="40"/>
    </row>
    <row r="78" spans="7:11" ht="15">
      <c r="G78" s="40"/>
      <c r="H78" s="41"/>
      <c r="I78" s="40"/>
      <c r="J78" s="40"/>
      <c r="K78" s="40"/>
    </row>
    <row r="79" spans="7:11" ht="15">
      <c r="G79" s="40"/>
      <c r="H79" s="41"/>
      <c r="I79" s="40"/>
      <c r="J79" s="40"/>
      <c r="K79" s="40"/>
    </row>
    <row r="80" spans="7:11" ht="15">
      <c r="G80" s="40"/>
      <c r="H80" s="41"/>
      <c r="I80" s="40"/>
      <c r="J80" s="40"/>
      <c r="K80" s="40"/>
    </row>
    <row r="81" spans="7:11" ht="15">
      <c r="G81" s="40"/>
      <c r="H81" s="41"/>
      <c r="I81" s="40"/>
      <c r="J81" s="40"/>
      <c r="K81" s="40"/>
    </row>
    <row r="82" spans="7:11" ht="15">
      <c r="G82" s="40"/>
      <c r="H82" s="41"/>
      <c r="I82" s="40"/>
      <c r="J82" s="40"/>
      <c r="K82" s="40"/>
    </row>
    <row r="83" spans="7:11" ht="15">
      <c r="G83" s="40"/>
      <c r="H83" s="41"/>
      <c r="I83" s="40"/>
      <c r="J83" s="40"/>
      <c r="K83" s="40"/>
    </row>
    <row r="84" spans="7:11" ht="15">
      <c r="G84" s="40"/>
      <c r="H84" s="41"/>
      <c r="I84" s="40"/>
      <c r="J84" s="40"/>
      <c r="K84" s="40"/>
    </row>
    <row r="85" spans="7:11" ht="15">
      <c r="G85" s="40"/>
      <c r="H85" s="41"/>
      <c r="I85" s="40"/>
      <c r="J85" s="40"/>
      <c r="K85" s="40"/>
    </row>
    <row r="86" spans="7:11" ht="15">
      <c r="G86" s="40"/>
      <c r="H86" s="41"/>
      <c r="I86" s="40"/>
      <c r="J86" s="40"/>
      <c r="K86" s="40"/>
    </row>
    <row r="87" spans="7:11" ht="15">
      <c r="G87" s="40"/>
      <c r="H87" s="41"/>
      <c r="I87" s="40"/>
      <c r="J87" s="40"/>
      <c r="K87" s="40"/>
    </row>
    <row r="88" spans="7:11" ht="15">
      <c r="G88" s="40"/>
      <c r="H88" s="41"/>
      <c r="I88" s="40"/>
      <c r="J88" s="40"/>
      <c r="K88" s="40"/>
    </row>
    <row r="89" spans="7:11" ht="15">
      <c r="G89" s="40"/>
      <c r="H89" s="41"/>
      <c r="I89" s="40"/>
      <c r="J89" s="40"/>
      <c r="K89" s="40"/>
    </row>
    <row r="90" spans="7:11" ht="15">
      <c r="G90" s="40"/>
      <c r="H90" s="41"/>
      <c r="I90" s="40"/>
      <c r="J90" s="40"/>
      <c r="K90" s="40"/>
    </row>
    <row r="91" spans="7:11" ht="15">
      <c r="G91" s="40"/>
      <c r="H91" s="41"/>
      <c r="I91" s="40"/>
      <c r="J91" s="40"/>
      <c r="K91" s="40"/>
    </row>
    <row r="92" spans="7:11" ht="15">
      <c r="G92" s="40"/>
      <c r="H92" s="41"/>
      <c r="I92" s="40"/>
      <c r="J92" s="40"/>
      <c r="K92" s="40"/>
    </row>
    <row r="93" spans="7:11" ht="15">
      <c r="G93" s="40"/>
      <c r="H93" s="41"/>
      <c r="I93" s="40"/>
      <c r="J93" s="40"/>
      <c r="K93" s="40"/>
    </row>
    <row r="94" spans="7:11" ht="15">
      <c r="G94" s="40"/>
      <c r="H94" s="41"/>
      <c r="I94" s="40"/>
      <c r="J94" s="40"/>
      <c r="K94" s="40"/>
    </row>
    <row r="95" spans="7:11" ht="15">
      <c r="G95" s="40"/>
      <c r="H95" s="41"/>
      <c r="I95" s="40"/>
      <c r="J95" s="40"/>
      <c r="K95" s="40"/>
    </row>
    <row r="96" spans="7:11" ht="15">
      <c r="G96" s="40"/>
      <c r="H96" s="41"/>
      <c r="I96" s="40"/>
      <c r="J96" s="40"/>
      <c r="K96" s="40"/>
    </row>
    <row r="97" spans="7:11" ht="15">
      <c r="G97" s="40"/>
      <c r="H97" s="41"/>
      <c r="I97" s="40"/>
      <c r="J97" s="40"/>
      <c r="K97" s="40"/>
    </row>
    <row r="98" spans="7:11" ht="15">
      <c r="G98" s="40"/>
      <c r="H98" s="41"/>
      <c r="I98" s="40"/>
      <c r="J98" s="40"/>
      <c r="K98" s="40"/>
    </row>
    <row r="99" spans="7:11" ht="15">
      <c r="G99" s="40"/>
      <c r="H99" s="41"/>
      <c r="I99" s="40"/>
      <c r="J99" s="40"/>
      <c r="K99" s="40"/>
    </row>
    <row r="100" spans="7:11" ht="15">
      <c r="G100" s="40"/>
      <c r="H100" s="41"/>
      <c r="I100" s="40"/>
      <c r="J100" s="40"/>
      <c r="K100" s="40"/>
    </row>
    <row r="101" spans="7:11" ht="15">
      <c r="G101" s="40"/>
      <c r="H101" s="41"/>
      <c r="I101" s="40"/>
      <c r="J101" s="40"/>
      <c r="K101" s="40"/>
    </row>
    <row r="102" spans="7:11" ht="15">
      <c r="G102" s="40"/>
      <c r="H102" s="41"/>
      <c r="I102" s="40"/>
      <c r="J102" s="40"/>
      <c r="K102" s="40"/>
    </row>
    <row r="103" spans="7:11" ht="15">
      <c r="G103" s="40"/>
      <c r="H103" s="41"/>
      <c r="I103" s="40"/>
      <c r="J103" s="40"/>
      <c r="K103" s="40"/>
    </row>
    <row r="104" spans="7:11" ht="15">
      <c r="G104" s="40"/>
      <c r="H104" s="41"/>
      <c r="I104" s="40"/>
      <c r="J104" s="40"/>
      <c r="K104" s="40"/>
    </row>
    <row r="105" spans="7:11" ht="15">
      <c r="G105" s="40"/>
      <c r="H105" s="41"/>
      <c r="I105" s="40"/>
      <c r="J105" s="40"/>
      <c r="K105" s="40"/>
    </row>
    <row r="106" spans="7:11" ht="15">
      <c r="G106" s="40"/>
      <c r="H106" s="41"/>
      <c r="I106" s="40"/>
      <c r="J106" s="40"/>
      <c r="K106" s="40"/>
    </row>
    <row r="107" spans="7:11" ht="15">
      <c r="G107" s="40"/>
      <c r="H107" s="41"/>
      <c r="I107" s="40"/>
      <c r="J107" s="40"/>
      <c r="K107" s="40"/>
    </row>
    <row r="108" spans="7:11" ht="15">
      <c r="G108" s="40"/>
      <c r="H108" s="41"/>
      <c r="I108" s="40"/>
      <c r="J108" s="40"/>
      <c r="K108" s="40"/>
    </row>
    <row r="109" spans="7:11" ht="15">
      <c r="G109" s="40"/>
      <c r="H109" s="41"/>
      <c r="I109" s="40"/>
      <c r="J109" s="40"/>
      <c r="K109" s="40"/>
    </row>
    <row r="110" spans="7:11" ht="15">
      <c r="G110" s="40"/>
      <c r="H110" s="41"/>
      <c r="I110" s="40"/>
      <c r="J110" s="40"/>
      <c r="K110" s="40"/>
    </row>
    <row r="111" spans="7:11" ht="15">
      <c r="G111" s="40"/>
      <c r="H111" s="41"/>
      <c r="I111" s="40"/>
      <c r="J111" s="40"/>
      <c r="K111" s="40"/>
    </row>
    <row r="112" spans="7:11" ht="15">
      <c r="G112" s="40"/>
      <c r="H112" s="41"/>
      <c r="I112" s="40"/>
      <c r="J112" s="40"/>
      <c r="K112" s="40"/>
    </row>
    <row r="113" spans="7:11" ht="15">
      <c r="G113" s="40"/>
      <c r="H113" s="41"/>
      <c r="I113" s="40"/>
      <c r="J113" s="40"/>
      <c r="K113" s="40"/>
    </row>
  </sheetData>
  <sheetProtection/>
  <mergeCells count="62">
    <mergeCell ref="A13:B13"/>
    <mergeCell ref="A2:B3"/>
    <mergeCell ref="C2:C3"/>
    <mergeCell ref="D2:E2"/>
    <mergeCell ref="L2:L3"/>
    <mergeCell ref="M2:M3"/>
    <mergeCell ref="N2:N3"/>
    <mergeCell ref="A4:B4"/>
    <mergeCell ref="F2:F3"/>
    <mergeCell ref="G2:G3"/>
    <mergeCell ref="H2:H3"/>
    <mergeCell ref="I2:I3"/>
    <mergeCell ref="J2:J3"/>
    <mergeCell ref="X2:X3"/>
    <mergeCell ref="A10:C10"/>
    <mergeCell ref="A17:B17"/>
    <mergeCell ref="O2:O3"/>
    <mergeCell ref="R2:R3"/>
    <mergeCell ref="S2:S3"/>
    <mergeCell ref="T2:T3"/>
    <mergeCell ref="U2:U3"/>
    <mergeCell ref="V2:V3"/>
    <mergeCell ref="W2:W3"/>
    <mergeCell ref="A21:B21"/>
    <mergeCell ref="K2:K3"/>
    <mergeCell ref="A22:B22"/>
    <mergeCell ref="A23:B23"/>
    <mergeCell ref="A7:C7"/>
    <mergeCell ref="A12:B12"/>
    <mergeCell ref="A15:B15"/>
    <mergeCell ref="A19:B19"/>
    <mergeCell ref="A20:B20"/>
    <mergeCell ref="A18:B18"/>
    <mergeCell ref="A34:B34"/>
    <mergeCell ref="A27:B27"/>
    <mergeCell ref="A29:B29"/>
    <mergeCell ref="A32:B32"/>
    <mergeCell ref="A30:B30"/>
    <mergeCell ref="A24:B24"/>
    <mergeCell ref="A25:B25"/>
    <mergeCell ref="A26:B26"/>
    <mergeCell ref="A33:C33"/>
    <mergeCell ref="A35:B35"/>
    <mergeCell ref="A37:B37"/>
    <mergeCell ref="A43:B43"/>
    <mergeCell ref="A44:C44"/>
    <mergeCell ref="A36:B36"/>
    <mergeCell ref="A38:B38"/>
    <mergeCell ref="A39:B39"/>
    <mergeCell ref="A42:B42"/>
    <mergeCell ref="A40:B40"/>
    <mergeCell ref="A41:B41"/>
    <mergeCell ref="W1:X1"/>
    <mergeCell ref="A1:V1"/>
    <mergeCell ref="A31:B31"/>
    <mergeCell ref="A47:B47"/>
    <mergeCell ref="P2:P3"/>
    <mergeCell ref="Q2:Q3"/>
    <mergeCell ref="A14:B14"/>
    <mergeCell ref="A16:B16"/>
    <mergeCell ref="A28:B28"/>
    <mergeCell ref="A46:B4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2012-08-16T06:02:22Z</cp:lastPrinted>
  <dcterms:created xsi:type="dcterms:W3CDTF">2012-04-10T06:01:03Z</dcterms:created>
  <dcterms:modified xsi:type="dcterms:W3CDTF">2012-08-16T07:20:26Z</dcterms:modified>
  <cp:category/>
  <cp:version/>
  <cp:contentType/>
  <cp:contentStatus/>
</cp:coreProperties>
</file>