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Wieloletnia Prognoza Finansowa" sheetId="1" r:id="rId1"/>
    <sheet name="Wykaz przesięwzięć do WPF" sheetId="2" r:id="rId2"/>
  </sheets>
  <definedNames>
    <definedName name="_xlnm.Print_Area" localSheetId="0">'Wieloletnia Prognoza Finansowa'!$A$2:$Q$62</definedName>
    <definedName name="_xlnm.Print_Area" localSheetId="1">'Wykaz przesięwzięć do WPF'!$A$1:$P$43</definedName>
    <definedName name="_xlnm.Print_Titles" localSheetId="0">'Wieloletnia Prognoza Finansowa'!$A:$B,'Wieloletnia Prognoza Finansowa'!$4:$4</definedName>
  </definedNames>
  <calcPr fullCalcOnLoad="1"/>
</workbook>
</file>

<file path=xl/sharedStrings.xml><?xml version="1.0" encoding="utf-8"?>
<sst xmlns="http://schemas.openxmlformats.org/spreadsheetml/2006/main" count="169" uniqueCount="141">
  <si>
    <t>Wykaz przedsięwzięć realizowanych w latach 2012 - 2019</t>
  </si>
  <si>
    <t>załącznik nr 2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</si>
  <si>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</si>
  <si>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</si>
  <si>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</si>
  <si>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</si>
  <si>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</si>
  <si>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</si>
  <si>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</si>
  <si>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</si>
  <si>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</si>
  <si>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</si>
  <si>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</si>
  <si>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</si>
  <si>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</si>
  <si>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LIMITY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</si>
  <si>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</si>
  <si>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</si>
  <si>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</si>
  <si>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</si>
  <si>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</si>
  <si>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</si>
  <si>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art..5 ust.1 pkt 2 i 3 (razem)</t>
  </si>
  <si>
    <t>Projekt systemowy pn. "Mam zawód - mam pracę w regionie"</t>
  </si>
  <si>
    <t>Starostwo Powiatowe</t>
  </si>
  <si>
    <t>PUP</t>
  </si>
  <si>
    <t>Przebudowa drogi powiatowej nr 2636 S w Zabłociu</t>
  </si>
  <si>
    <t>b) programy, projekty lub zadania związane z umowami partnerstwa publiczno-prywatnego (razem)</t>
  </si>
  <si>
    <t xml:space="preserve">c) programy, projekty lub zadania pozostałe                                                                                                                                                                                                                    </t>
  </si>
  <si>
    <t xml:space="preserve"> Zimowe utrzymanie dróg powiatowych i chodników w granicach Gminy Skoczów</t>
  </si>
  <si>
    <t xml:space="preserve"> Zimowe utrzymanie dróg powiatowych i chodników w granicach Gminy Brenna</t>
  </si>
  <si>
    <t>Przebudowa skrzyżowania drogi wojewódzkiej nr 941 z ul. Skoczowską i ul. Wiejską w Ustroniu Nierodzimiu</t>
  </si>
  <si>
    <t>2) umowy, których realizacja w roku budżetowym i w latach następnych jest niezbędna dla zapewnienia ciągłości działania jednostki i których płatności przypadają w okresie dłuższym niż rok</t>
  </si>
  <si>
    <t>Dostawa tablic rejestracyjnych</t>
  </si>
  <si>
    <t>Obsługa prawna</t>
  </si>
  <si>
    <t>Dostawa druków do  rejestracji pojazdów i wydawania praw jazdy (umowa z PWPW)</t>
  </si>
  <si>
    <t>Realizacja zadań z zakresu usług teleinformatycznych</t>
  </si>
  <si>
    <t>Realizacja zadań z zakresu usług zdrowotnych</t>
  </si>
  <si>
    <t xml:space="preserve">Realizacja zadań z zakresu monitoringu </t>
  </si>
  <si>
    <t>Dostawa wody</t>
  </si>
  <si>
    <t>Realizacja zadań z zakresu konserwacji urządzeń technicznych i sprzętu BHP</t>
  </si>
  <si>
    <t>3) gwarancje i poręczenia udzielane przez jednostki samorządu terytorialnego (razem)</t>
  </si>
  <si>
    <t>Poręczenie pozyczki WFOŚiGW dla ZZOZ-u dla zadania "Termomodernizacja Szpitala Śląskiego przy ul. Bielskiej w Cieszynie</t>
  </si>
  <si>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</si>
  <si>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</si>
  <si>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</si>
  <si>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</si>
  <si>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</si>
  <si>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</si>
  <si>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Wykonanie 2010</t>
  </si>
  <si>
    <t>Plan 3kw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</si>
  <si>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</si>
  <si>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</si>
  <si>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</si>
  <si>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</si>
  <si>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</si>
  <si>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</si>
  <si>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</si>
  <si>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</si>
  <si>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</si>
  <si>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</si>
  <si>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</si>
  <si>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</si>
  <si>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</si>
  <si>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</si>
  <si>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</si>
  <si>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</si>
  <si>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</si>
  <si>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</si>
  <si>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</si>
  <si>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</si>
  <si>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</si>
  <si>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</si>
  <si>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</si>
  <si>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</si>
  <si>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</si>
  <si>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</si>
  <si>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</si>
  <si>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</si>
  <si>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</si>
  <si>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</si>
  <si>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(1-2)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</si>
  <si>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</si>
  <si>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</si>
  <si>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</si>
  <si>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</si>
  <si>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</si>
  <si>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</si>
  <si>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</si>
  <si>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</si>
  <si>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</si>
  <si>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</si>
  <si>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</si>
  <si>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</si>
  <si>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</si>
  <si>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</si>
  <si>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art.226 ust.4 ufp (przedsięwzięcia WPF)</t>
  </si>
  <si>
    <t>Rozliczenie budżetu (9-10+11)</t>
  </si>
  <si>
    <t>CZĘŚĆ II - Prognoza kwoty długu</t>
  </si>
  <si>
    <t xml:space="preserve">Kwota długu, 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</si>
  <si>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</si>
  <si>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</si>
  <si>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</si>
  <si>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</si>
  <si>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</si>
  <si>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</si>
  <si>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</si>
  <si>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</si>
  <si>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</si>
  <si>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</si>
  <si>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</si>
  <si>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art243 ufp po uwzględnieniu art.244 ufp</t>
  </si>
  <si>
    <t>łączna kwota wyłączeń z art.243 ust.3 pkt 1 ufp oraz art.169 ust.3 sufp</t>
  </si>
  <si>
    <t>Spełnienie wskaźnika spłaty z art.169 sufp</t>
  </si>
  <si>
    <t>Zadłużenie / dochody ogółem                                 [(13-13a):1]-max 60% z art..170 sufp</t>
  </si>
  <si>
    <t>Wydatki bieżące razem (2+7b)</t>
  </si>
  <si>
    <t>Wydatki ogółem (10+20)</t>
  </si>
  <si>
    <t>Wynik budżetu (1-21) (nadwyżka/deficyt)</t>
  </si>
  <si>
    <t>Przychody budżetu (4+5+11)</t>
  </si>
  <si>
    <t>Rozchody budżetu (7a+8)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</si>
  <si>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</si>
  <si>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</si>
  <si>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</si>
  <si>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</si>
  <si>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</si>
  <si>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</si>
  <si>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</si>
  <si>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</si>
  <si>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</si>
  <si>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</si>
  <si>
    <t>w tym wkład własny</t>
  </si>
  <si>
    <t>Projekt unijny pn.: "Nowa jakość - nowe możliwości III"</t>
  </si>
  <si>
    <t>Rozszerzenie ilości usług świadczonych drogą elektroniczną wraz z rozbudową Infrastruktury Informacji Przestrzennej Powiatu Cieszyńskiego</t>
  </si>
  <si>
    <t xml:space="preserve">Termomodernizacja PDPS w Pogórzu filia "Bursztyn" w Kończycach Małych </t>
  </si>
  <si>
    <t>Modernizacja ewidencji gruntów i budynków gmin Chybie i Dębowiec</t>
  </si>
  <si>
    <t>11a</t>
  </si>
  <si>
    <t>Przychody (kredyty, pożyczki, emisje obligacji), w tym</t>
  </si>
  <si>
    <t xml:space="preserve"> na pokrycie deficytu budzetu</t>
  </si>
  <si>
    <r>
      <t xml:space="preserve">Planowana łączna kwota spłaty zobowiązań do dochodów ogółem - max 15% z art. </t>
    </r>
    <r>
      <rPr>
        <sz val="10"/>
        <rFont val="Arial"/>
        <family val="2"/>
      </rPr>
      <t>169 sufp (bez wyłączeń)</t>
    </r>
  </si>
  <si>
    <r>
      <t xml:space="preserve">Planowana łączna kwota spłaty zobowiązań do dochodów ogółem - max 15% z art. </t>
    </r>
    <r>
      <rPr>
        <sz val="10"/>
        <rFont val="Arial"/>
        <family val="2"/>
      </rPr>
      <t>169 sufp (po uwzglednieniu  wyłączeń)</t>
    </r>
  </si>
  <si>
    <t>18a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</si>
</sst>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13" fillId="14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2" fillId="0" borderId="10" xfId="51" applyBorder="1" applyAlignment="1">
      <alignment vertical="top"/>
      <protection/>
    </xf>
    <xf numFmtId="0" fontId="12" fillId="0" borderId="11" xfId="51" applyBorder="1" applyAlignment="1">
      <alignment vertical="top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vertical="center"/>
      <protection/>
    </xf>
    <xf numFmtId="0" fontId="20" fillId="0" borderId="11" xfId="51" applyFont="1" applyBorder="1" applyAlignment="1">
      <alignment vertical="top"/>
      <protection/>
    </xf>
    <xf numFmtId="0" fontId="20" fillId="18" borderId="12" xfId="51" applyFont="1" applyFill="1" applyBorder="1" applyAlignment="1">
      <alignment vertical="top"/>
      <protection/>
    </xf>
    <xf numFmtId="0" fontId="20" fillId="18" borderId="13" xfId="51" applyFont="1" applyFill="1" applyBorder="1" applyAlignment="1">
      <alignment vertical="top"/>
      <protection/>
    </xf>
    <xf numFmtId="0" fontId="20" fillId="18" borderId="11" xfId="51" applyFont="1" applyFill="1" applyBorder="1" applyAlignment="1">
      <alignment vertical="top"/>
      <protection/>
    </xf>
    <xf numFmtId="0" fontId="20" fillId="2" borderId="13" xfId="51" applyFont="1" applyFill="1" applyBorder="1" applyAlignment="1">
      <alignment vertical="top"/>
      <protection/>
    </xf>
    <xf numFmtId="0" fontId="20" fillId="2" borderId="11" xfId="51" applyFont="1" applyFill="1" applyBorder="1" applyAlignment="1">
      <alignment vertical="top"/>
      <protection/>
    </xf>
    <xf numFmtId="0" fontId="22" fillId="0" borderId="11" xfId="51" applyFont="1" applyBorder="1" applyAlignment="1">
      <alignment vertical="top"/>
      <protection/>
    </xf>
    <xf numFmtId="0" fontId="23" fillId="18" borderId="13" xfId="51" applyFont="1" applyFill="1" applyBorder="1" applyAlignment="1">
      <alignment vertical="top"/>
      <protection/>
    </xf>
    <xf numFmtId="0" fontId="23" fillId="18" borderId="11" xfId="51" applyFont="1" applyFill="1" applyBorder="1" applyAlignment="1">
      <alignment vertical="top"/>
      <protection/>
    </xf>
    <xf numFmtId="0" fontId="23" fillId="2" borderId="13" xfId="51" applyFont="1" applyFill="1" applyBorder="1" applyAlignment="1">
      <alignment vertical="top"/>
      <protection/>
    </xf>
    <xf numFmtId="0" fontId="23" fillId="2" borderId="11" xfId="51" applyFont="1" applyFill="1" applyBorder="1" applyAlignment="1">
      <alignment vertical="top"/>
      <protection/>
    </xf>
    <xf numFmtId="0" fontId="25" fillId="18" borderId="13" xfId="51" applyFont="1" applyFill="1" applyBorder="1" applyAlignment="1">
      <alignment vertical="top"/>
      <protection/>
    </xf>
    <xf numFmtId="0" fontId="21" fillId="18" borderId="11" xfId="51" applyFont="1" applyFill="1" applyBorder="1" applyAlignment="1">
      <alignment vertical="top"/>
      <protection/>
    </xf>
    <xf numFmtId="3" fontId="21" fillId="18" borderId="11" xfId="51" applyNumberFormat="1" applyFont="1" applyFill="1" applyBorder="1" applyAlignment="1">
      <alignment vertical="top"/>
      <protection/>
    </xf>
    <xf numFmtId="0" fontId="21" fillId="0" borderId="11" xfId="51" applyFont="1" applyFill="1" applyBorder="1" applyAlignment="1">
      <alignment vertical="top"/>
      <protection/>
    </xf>
    <xf numFmtId="3" fontId="21" fillId="0" borderId="11" xfId="51" applyNumberFormat="1" applyFont="1" applyFill="1" applyBorder="1" applyAlignment="1">
      <alignment vertical="top"/>
      <protection/>
    </xf>
    <xf numFmtId="0" fontId="21" fillId="2" borderId="11" xfId="51" applyFont="1" applyFill="1" applyBorder="1" applyAlignment="1">
      <alignment vertical="top" wrapText="1"/>
      <protection/>
    </xf>
    <xf numFmtId="0" fontId="21" fillId="2" borderId="11" xfId="51" applyFont="1" applyFill="1" applyBorder="1" applyAlignment="1">
      <alignment vertical="top"/>
      <protection/>
    </xf>
    <xf numFmtId="0" fontId="24" fillId="0" borderId="11" xfId="51" applyFont="1" applyFill="1" applyBorder="1" applyAlignment="1">
      <alignment vertical="top"/>
      <protection/>
    </xf>
    <xf numFmtId="0" fontId="12" fillId="15" borderId="11" xfId="51" applyFill="1" applyBorder="1" applyAlignment="1">
      <alignment vertical="top"/>
      <protection/>
    </xf>
    <xf numFmtId="0" fontId="24" fillId="0" borderId="11" xfId="51" applyFont="1" applyBorder="1" applyAlignment="1">
      <alignment horizontal="left" vertical="top" wrapText="1"/>
      <protection/>
    </xf>
    <xf numFmtId="0" fontId="24" fillId="0" borderId="11" xfId="51" applyFont="1" applyBorder="1" applyAlignment="1">
      <alignment vertical="top"/>
      <protection/>
    </xf>
    <xf numFmtId="0" fontId="25" fillId="18" borderId="11" xfId="51" applyFont="1" applyFill="1" applyBorder="1" applyAlignment="1">
      <alignment vertical="top"/>
      <protection/>
    </xf>
    <xf numFmtId="0" fontId="25" fillId="2" borderId="11" xfId="51" applyFont="1" applyFill="1" applyBorder="1" applyAlignment="1">
      <alignment vertical="top"/>
      <protection/>
    </xf>
    <xf numFmtId="0" fontId="24" fillId="0" borderId="13" xfId="51" applyFont="1" applyBorder="1" applyAlignment="1">
      <alignment vertical="top" wrapText="1"/>
      <protection/>
    </xf>
    <xf numFmtId="3" fontId="21" fillId="2" borderId="11" xfId="51" applyNumberFormat="1" applyFont="1" applyFill="1" applyBorder="1" applyAlignment="1">
      <alignment vertical="top"/>
      <protection/>
    </xf>
    <xf numFmtId="0" fontId="0" fillId="0" borderId="11" xfId="51" applyFont="1" applyFill="1" applyBorder="1" applyAlignment="1">
      <alignment vertical="top"/>
      <protection/>
    </xf>
    <xf numFmtId="0" fontId="26" fillId="0" borderId="11" xfId="51" applyFont="1" applyBorder="1" applyAlignment="1">
      <alignment vertical="top"/>
      <protection/>
    </xf>
    <xf numFmtId="0" fontId="22" fillId="18" borderId="11" xfId="51" applyFont="1" applyFill="1" applyBorder="1" applyAlignment="1">
      <alignment vertical="top"/>
      <protection/>
    </xf>
    <xf numFmtId="0" fontId="26" fillId="18" borderId="11" xfId="51" applyFont="1" applyFill="1" applyBorder="1" applyAlignment="1">
      <alignment vertical="top"/>
      <protection/>
    </xf>
    <xf numFmtId="0" fontId="22" fillId="2" borderId="11" xfId="51" applyFont="1" applyFill="1" applyBorder="1" applyAlignment="1">
      <alignment vertical="top"/>
      <protection/>
    </xf>
    <xf numFmtId="3" fontId="22" fillId="2" borderId="11" xfId="51" applyNumberFormat="1" applyFont="1" applyFill="1" applyBorder="1" applyAlignment="1">
      <alignment vertical="top"/>
      <protection/>
    </xf>
    <xf numFmtId="0" fontId="26" fillId="2" borderId="11" xfId="51" applyFont="1" applyFill="1" applyBorder="1" applyAlignment="1">
      <alignment vertical="top"/>
      <protection/>
    </xf>
    <xf numFmtId="0" fontId="22" fillId="18" borderId="13" xfId="51" applyFont="1" applyFill="1" applyBorder="1" applyAlignment="1">
      <alignment vertical="top"/>
      <protection/>
    </xf>
    <xf numFmtId="3" fontId="26" fillId="18" borderId="11" xfId="51" applyNumberFormat="1" applyFont="1" applyFill="1" applyBorder="1" applyAlignment="1">
      <alignment vertical="top"/>
      <protection/>
    </xf>
    <xf numFmtId="3" fontId="12" fillId="0" borderId="11" xfId="51" applyNumberFormat="1" applyBorder="1" applyAlignment="1">
      <alignment vertical="top"/>
      <protection/>
    </xf>
    <xf numFmtId="3" fontId="12" fillId="14" borderId="11" xfId="51" applyNumberFormat="1" applyFill="1" applyBorder="1" applyAlignment="1">
      <alignment vertical="top"/>
      <protection/>
    </xf>
    <xf numFmtId="0" fontId="12" fillId="14" borderId="11" xfId="51" applyFill="1" applyBorder="1" applyAlignment="1">
      <alignment vertical="top"/>
      <protection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vertical="top" wrapText="1"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2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2" fontId="0" fillId="0" borderId="11" xfId="53" applyNumberFormat="1" applyBorder="1" applyAlignment="1">
      <alignment/>
    </xf>
    <xf numFmtId="2" fontId="0" fillId="0" borderId="11" xfId="53" applyNumberFormat="1" applyFont="1" applyFill="1" applyBorder="1" applyAlignment="1">
      <alignment/>
    </xf>
    <xf numFmtId="0" fontId="0" fillId="15" borderId="11" xfId="0" applyFill="1" applyBorder="1" applyAlignment="1">
      <alignment horizontal="center" vertical="top"/>
    </xf>
    <xf numFmtId="0" fontId="0" fillId="15" borderId="11" xfId="0" applyFill="1" applyBorder="1" applyAlignment="1">
      <alignment vertical="top" wrapText="1"/>
    </xf>
    <xf numFmtId="4" fontId="0" fillId="15" borderId="11" xfId="53" applyNumberFormat="1" applyFill="1" applyBorder="1" applyAlignment="1">
      <alignment/>
    </xf>
    <xf numFmtId="3" fontId="0" fillId="0" borderId="11" xfId="53" applyNumberFormat="1" applyFont="1" applyFill="1" applyBorder="1" applyAlignment="1">
      <alignment/>
    </xf>
    <xf numFmtId="0" fontId="0" fillId="15" borderId="0" xfId="0" applyFill="1" applyBorder="1" applyAlignment="1">
      <alignment/>
    </xf>
    <xf numFmtId="2" fontId="0" fillId="18" borderId="11" xfId="53" applyNumberFormat="1" applyFill="1" applyBorder="1" applyAlignment="1">
      <alignment/>
    </xf>
    <xf numFmtId="2" fontId="0" fillId="18" borderId="11" xfId="53" applyNumberFormat="1" applyFont="1" applyFill="1" applyBorder="1" applyAlignment="1">
      <alignment/>
    </xf>
    <xf numFmtId="3" fontId="0" fillId="18" borderId="11" xfId="53" applyNumberFormat="1" applyFont="1" applyFill="1" applyBorder="1" applyAlignment="1">
      <alignment/>
    </xf>
    <xf numFmtId="4" fontId="0" fillId="18" borderId="11" xfId="53" applyNumberFormat="1" applyFill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4" fontId="0" fillId="0" borderId="11" xfId="53" applyNumberFormat="1" applyFill="1" applyBorder="1" applyAlignment="1">
      <alignment/>
    </xf>
    <xf numFmtId="10" fontId="0" fillId="0" borderId="11" xfId="53" applyNumberFormat="1" applyBorder="1" applyAlignment="1">
      <alignment/>
    </xf>
    <xf numFmtId="10" fontId="0" fillId="0" borderId="11" xfId="53" applyNumberFormat="1" applyFont="1" applyFill="1" applyBorder="1" applyAlignment="1">
      <alignment/>
    </xf>
    <xf numFmtId="10" fontId="0" fillId="18" borderId="11" xfId="53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7" fillId="0" borderId="19" xfId="51" applyFont="1" applyFill="1" applyBorder="1" applyAlignment="1">
      <alignment vertical="top" wrapText="1"/>
      <protection/>
    </xf>
    <xf numFmtId="0" fontId="27" fillId="0" borderId="19" xfId="51" applyFont="1" applyFill="1" applyBorder="1" applyAlignment="1">
      <alignment vertical="top"/>
      <protection/>
    </xf>
    <xf numFmtId="3" fontId="27" fillId="0" borderId="19" xfId="51" applyNumberFormat="1" applyFont="1" applyFill="1" applyBorder="1" applyAlignment="1">
      <alignment vertical="top"/>
      <protection/>
    </xf>
    <xf numFmtId="3" fontId="25" fillId="0" borderId="19" xfId="51" applyNumberFormat="1" applyFont="1" applyFill="1" applyBorder="1" applyAlignment="1">
      <alignment vertical="top"/>
      <protection/>
    </xf>
    <xf numFmtId="3" fontId="21" fillId="0" borderId="16" xfId="51" applyNumberFormat="1" applyFont="1" applyFill="1" applyBorder="1" applyAlignment="1">
      <alignment vertical="top"/>
      <protection/>
    </xf>
    <xf numFmtId="0" fontId="24" fillId="0" borderId="19" xfId="51" applyFont="1" applyFill="1" applyBorder="1" applyAlignment="1">
      <alignment vertical="top" wrapText="1"/>
      <protection/>
    </xf>
    <xf numFmtId="3" fontId="21" fillId="0" borderId="19" xfId="51" applyNumberFormat="1" applyFont="1" applyFill="1" applyBorder="1" applyAlignment="1">
      <alignment vertical="top"/>
      <protection/>
    </xf>
    <xf numFmtId="0" fontId="28" fillId="0" borderId="16" xfId="51" applyFont="1" applyFill="1" applyBorder="1" applyAlignment="1">
      <alignment vertical="top" wrapText="1"/>
      <protection/>
    </xf>
    <xf numFmtId="0" fontId="28" fillId="0" borderId="11" xfId="51" applyFont="1" applyFill="1" applyBorder="1" applyAlignment="1">
      <alignment vertical="top" wrapText="1"/>
      <protection/>
    </xf>
    <xf numFmtId="0" fontId="29" fillId="0" borderId="11" xfId="51" applyFont="1" applyFill="1" applyBorder="1" applyAlignment="1">
      <alignment vertical="top" wrapText="1"/>
      <protection/>
    </xf>
    <xf numFmtId="0" fontId="28" fillId="0" borderId="11" xfId="51" applyFont="1" applyBorder="1" applyAlignment="1">
      <alignment vertical="top" wrapText="1"/>
      <protection/>
    </xf>
    <xf numFmtId="0" fontId="29" fillId="0" borderId="16" xfId="51" applyFont="1" applyFill="1" applyBorder="1" applyAlignment="1">
      <alignment vertical="top"/>
      <protection/>
    </xf>
    <xf numFmtId="0" fontId="29" fillId="0" borderId="19" xfId="51" applyFont="1" applyFill="1" applyBorder="1" applyAlignment="1">
      <alignment vertical="top"/>
      <protection/>
    </xf>
    <xf numFmtId="0" fontId="29" fillId="0" borderId="11" xfId="51" applyFont="1" applyFill="1" applyBorder="1" applyAlignment="1">
      <alignment vertical="top"/>
      <protection/>
    </xf>
    <xf numFmtId="0" fontId="28" fillId="0" borderId="11" xfId="51" applyFont="1" applyFill="1" applyBorder="1" applyAlignment="1">
      <alignment vertical="top"/>
      <protection/>
    </xf>
    <xf numFmtId="0" fontId="28" fillId="0" borderId="16" xfId="51" applyFont="1" applyFill="1" applyBorder="1" applyAlignment="1">
      <alignment vertical="top"/>
      <protection/>
    </xf>
    <xf numFmtId="0" fontId="28" fillId="0" borderId="11" xfId="51" applyFont="1" applyBorder="1" applyAlignment="1">
      <alignment vertical="top"/>
      <protection/>
    </xf>
    <xf numFmtId="3" fontId="31" fillId="2" borderId="11" xfId="51" applyNumberFormat="1" applyFont="1" applyFill="1" applyBorder="1" applyAlignment="1">
      <alignment vertical="top"/>
      <protection/>
    </xf>
    <xf numFmtId="3" fontId="28" fillId="0" borderId="19" xfId="51" applyNumberFormat="1" applyFont="1" applyBorder="1" applyAlignment="1">
      <alignment vertical="top"/>
      <protection/>
    </xf>
    <xf numFmtId="3" fontId="28" fillId="0" borderId="11" xfId="51" applyNumberFormat="1" applyFont="1" applyFill="1" applyBorder="1" applyAlignment="1">
      <alignment vertical="top"/>
      <protection/>
    </xf>
    <xf numFmtId="3" fontId="28" fillId="0" borderId="19" xfId="51" applyNumberFormat="1" applyFont="1" applyFill="1" applyBorder="1" applyAlignment="1">
      <alignment vertical="top"/>
      <protection/>
    </xf>
    <xf numFmtId="3" fontId="29" fillId="0" borderId="19" xfId="51" applyNumberFormat="1" applyFont="1" applyFill="1" applyBorder="1" applyAlignment="1">
      <alignment vertical="top"/>
      <protection/>
    </xf>
    <xf numFmtId="3" fontId="28" fillId="14" borderId="19" xfId="51" applyNumberFormat="1" applyFont="1" applyFill="1" applyBorder="1" applyAlignment="1">
      <alignment vertical="top"/>
      <protection/>
    </xf>
    <xf numFmtId="3" fontId="30" fillId="2" borderId="11" xfId="51" applyNumberFormat="1" applyFont="1" applyFill="1" applyBorder="1" applyAlignment="1">
      <alignment vertical="top"/>
      <protection/>
    </xf>
    <xf numFmtId="0" fontId="30" fillId="18" borderId="12" xfId="51" applyFont="1" applyFill="1" applyBorder="1" applyAlignment="1">
      <alignment vertical="top"/>
      <protection/>
    </xf>
    <xf numFmtId="0" fontId="30" fillId="2" borderId="12" xfId="51" applyFont="1" applyFill="1" applyBorder="1" applyAlignment="1">
      <alignment vertical="top"/>
      <protection/>
    </xf>
    <xf numFmtId="0" fontId="33" fillId="18" borderId="12" xfId="51" applyFont="1" applyFill="1" applyBorder="1" applyAlignment="1">
      <alignment vertical="top"/>
      <protection/>
    </xf>
    <xf numFmtId="0" fontId="33" fillId="2" borderId="12" xfId="51" applyFont="1" applyFill="1" applyBorder="1" applyAlignment="1">
      <alignment vertical="top"/>
      <protection/>
    </xf>
    <xf numFmtId="3" fontId="36" fillId="0" borderId="16" xfId="51" applyNumberFormat="1" applyFont="1" applyBorder="1" applyAlignment="1">
      <alignment vertical="top"/>
      <protection/>
    </xf>
    <xf numFmtId="3" fontId="32" fillId="0" borderId="16" xfId="51" applyNumberFormat="1" applyFont="1" applyFill="1" applyBorder="1" applyAlignment="1">
      <alignment vertical="top"/>
      <protection/>
    </xf>
    <xf numFmtId="3" fontId="35" fillId="0" borderId="16" xfId="51" applyNumberFormat="1" applyFont="1" applyFill="1" applyBorder="1" applyAlignment="1">
      <alignment vertical="top"/>
      <protection/>
    </xf>
    <xf numFmtId="3" fontId="36" fillId="0" borderId="11" xfId="51" applyNumberFormat="1" applyFont="1" applyBorder="1" applyAlignment="1">
      <alignment vertical="top"/>
      <protection/>
    </xf>
    <xf numFmtId="3" fontId="32" fillId="0" borderId="11" xfId="51" applyNumberFormat="1" applyFont="1" applyFill="1" applyBorder="1" applyAlignment="1">
      <alignment vertical="top"/>
      <protection/>
    </xf>
    <xf numFmtId="3" fontId="35" fillId="0" borderId="11" xfId="51" applyNumberFormat="1" applyFont="1" applyFill="1" applyBorder="1" applyAlignment="1">
      <alignment vertical="top"/>
      <protection/>
    </xf>
    <xf numFmtId="3" fontId="36" fillId="18" borderId="11" xfId="51" applyNumberFormat="1" applyFont="1" applyFill="1" applyBorder="1" applyAlignment="1">
      <alignment vertical="top"/>
      <protection/>
    </xf>
    <xf numFmtId="3" fontId="32" fillId="18" borderId="11" xfId="51" applyNumberFormat="1" applyFont="1" applyFill="1" applyBorder="1" applyAlignment="1">
      <alignment vertical="top"/>
      <protection/>
    </xf>
    <xf numFmtId="3" fontId="32" fillId="2" borderId="11" xfId="51" applyNumberFormat="1" applyFont="1" applyFill="1" applyBorder="1" applyAlignment="1">
      <alignment vertical="top"/>
      <protection/>
    </xf>
    <xf numFmtId="3" fontId="37" fillId="18" borderId="11" xfId="51" applyNumberFormat="1" applyFont="1" applyFill="1" applyBorder="1" applyAlignment="1">
      <alignment vertical="top"/>
      <protection/>
    </xf>
    <xf numFmtId="3" fontId="37" fillId="2" borderId="11" xfId="51" applyNumberFormat="1" applyFont="1" applyFill="1" applyBorder="1" applyAlignment="1">
      <alignment vertical="top"/>
      <protection/>
    </xf>
    <xf numFmtId="0" fontId="35" fillId="0" borderId="11" xfId="51" applyFont="1" applyFill="1" applyBorder="1" applyAlignment="1">
      <alignment vertical="top"/>
      <protection/>
    </xf>
    <xf numFmtId="3" fontId="35" fillId="2" borderId="11" xfId="51" applyNumberFormat="1" applyFont="1" applyFill="1" applyBorder="1" applyAlignment="1">
      <alignment vertical="top"/>
      <protection/>
    </xf>
    <xf numFmtId="3" fontId="36" fillId="0" borderId="11" xfId="51" applyNumberFormat="1" applyFont="1" applyFill="1" applyBorder="1" applyAlignment="1">
      <alignment vertical="top"/>
      <protection/>
    </xf>
    <xf numFmtId="3" fontId="36" fillId="14" borderId="11" xfId="51" applyNumberFormat="1" applyFont="1" applyFill="1" applyBorder="1" applyAlignment="1">
      <alignment vertical="top"/>
      <protection/>
    </xf>
    <xf numFmtId="3" fontId="36" fillId="0" borderId="16" xfId="51" applyNumberFormat="1" applyFont="1" applyFill="1" applyBorder="1" applyAlignment="1">
      <alignment vertical="top"/>
      <protection/>
    </xf>
    <xf numFmtId="3" fontId="39" fillId="0" borderId="16" xfId="51" applyNumberFormat="1" applyFont="1" applyFill="1" applyBorder="1" applyAlignment="1">
      <alignment vertical="top"/>
      <protection/>
    </xf>
    <xf numFmtId="3" fontId="36" fillId="14" borderId="16" xfId="51" applyNumberFormat="1" applyFont="1" applyFill="1" applyBorder="1" applyAlignment="1">
      <alignment vertical="top"/>
      <protection/>
    </xf>
    <xf numFmtId="0" fontId="36" fillId="0" borderId="11" xfId="51" applyFont="1" applyFill="1" applyBorder="1" applyAlignment="1">
      <alignment vertical="top"/>
      <protection/>
    </xf>
    <xf numFmtId="0" fontId="39" fillId="0" borderId="16" xfId="51" applyFont="1" applyFill="1" applyBorder="1" applyAlignment="1">
      <alignment vertical="top"/>
      <protection/>
    </xf>
    <xf numFmtId="3" fontId="35" fillId="0" borderId="19" xfId="51" applyNumberFormat="1" applyFont="1" applyFill="1" applyBorder="1" applyAlignment="1">
      <alignment vertical="top"/>
      <protection/>
    </xf>
    <xf numFmtId="0" fontId="36" fillId="0" borderId="11" xfId="51" applyFont="1" applyBorder="1" applyAlignment="1">
      <alignment vertical="top"/>
      <protection/>
    </xf>
    <xf numFmtId="3" fontId="35" fillId="0" borderId="11" xfId="51" applyNumberFormat="1" applyFont="1" applyBorder="1" applyAlignment="1">
      <alignment vertical="top"/>
      <protection/>
    </xf>
    <xf numFmtId="3" fontId="35" fillId="18" borderId="11" xfId="51" applyNumberFormat="1" applyFont="1" applyFill="1" applyBorder="1" applyAlignment="1">
      <alignment vertical="top"/>
      <protection/>
    </xf>
    <xf numFmtId="0" fontId="35" fillId="18" borderId="11" xfId="51" applyFont="1" applyFill="1" applyBorder="1" applyAlignment="1">
      <alignment vertical="top"/>
      <protection/>
    </xf>
    <xf numFmtId="0" fontId="35" fillId="2" borderId="11" xfId="51" applyFont="1" applyFill="1" applyBorder="1" applyAlignment="1">
      <alignment vertical="top"/>
      <protection/>
    </xf>
    <xf numFmtId="3" fontId="35" fillId="14" borderId="11" xfId="51" applyNumberFormat="1" applyFont="1" applyFill="1" applyBorder="1" applyAlignment="1">
      <alignment vertical="top"/>
      <protection/>
    </xf>
    <xf numFmtId="3" fontId="35" fillId="0" borderId="20" xfId="51" applyNumberFormat="1" applyFont="1" applyFill="1" applyBorder="1" applyAlignment="1">
      <alignment horizontal="center" vertical="top"/>
      <protection/>
    </xf>
    <xf numFmtId="0" fontId="35" fillId="0" borderId="20" xfId="51" applyFont="1" applyFill="1" applyBorder="1" applyAlignment="1">
      <alignment horizontal="center" vertical="top"/>
      <protection/>
    </xf>
    <xf numFmtId="3" fontId="35" fillId="0" borderId="20" xfId="51" applyNumberFormat="1" applyFont="1" applyFill="1" applyBorder="1" applyAlignment="1">
      <alignment horizontal="right" vertical="center"/>
      <protection/>
    </xf>
    <xf numFmtId="3" fontId="38" fillId="18" borderId="11" xfId="51" applyNumberFormat="1" applyFont="1" applyFill="1" applyBorder="1" applyAlignment="1">
      <alignment vertical="top"/>
      <protection/>
    </xf>
    <xf numFmtId="3" fontId="40" fillId="0" borderId="11" xfId="51" applyNumberFormat="1" applyFont="1" applyBorder="1" applyAlignment="1">
      <alignment vertical="top"/>
      <protection/>
    </xf>
    <xf numFmtId="3" fontId="41" fillId="18" borderId="11" xfId="51" applyNumberFormat="1" applyFont="1" applyFill="1" applyBorder="1" applyAlignment="1">
      <alignment vertical="top"/>
      <protection/>
    </xf>
    <xf numFmtId="3" fontId="41" fillId="2" borderId="11" xfId="51" applyNumberFormat="1" applyFont="1" applyFill="1" applyBorder="1" applyAlignment="1">
      <alignment vertical="top"/>
      <protection/>
    </xf>
    <xf numFmtId="3" fontId="42" fillId="0" borderId="11" xfId="51" applyNumberFormat="1" applyFont="1" applyBorder="1" applyAlignment="1">
      <alignment vertical="top"/>
      <protection/>
    </xf>
    <xf numFmtId="3" fontId="43" fillId="0" borderId="11" xfId="51" applyNumberFormat="1" applyFont="1" applyBorder="1" applyAlignment="1">
      <alignment vertical="top"/>
      <protection/>
    </xf>
    <xf numFmtId="3" fontId="42" fillId="14" borderId="11" xfId="51" applyNumberFormat="1" applyFont="1" applyFill="1" applyBorder="1" applyAlignment="1">
      <alignment vertical="top"/>
      <protection/>
    </xf>
    <xf numFmtId="3" fontId="44" fillId="0" borderId="11" xfId="51" applyNumberFormat="1" applyFont="1" applyBorder="1" applyAlignment="1">
      <alignment vertical="top"/>
      <protection/>
    </xf>
    <xf numFmtId="0" fontId="29" fillId="0" borderId="17" xfId="51" applyFont="1" applyFill="1" applyBorder="1" applyAlignment="1">
      <alignment vertical="top"/>
      <protection/>
    </xf>
    <xf numFmtId="3" fontId="35" fillId="14" borderId="20" xfId="51" applyNumberFormat="1" applyFont="1" applyFill="1" applyBorder="1" applyAlignment="1">
      <alignment horizontal="right" vertical="top" wrapText="1"/>
      <protection/>
    </xf>
    <xf numFmtId="3" fontId="35" fillId="0" borderId="20" xfId="51" applyNumberFormat="1" applyFont="1" applyFill="1" applyBorder="1" applyAlignment="1">
      <alignment horizontal="right" vertical="top"/>
      <protection/>
    </xf>
    <xf numFmtId="0" fontId="25" fillId="0" borderId="21" xfId="0" applyFont="1" applyBorder="1" applyAlignment="1">
      <alignment horizontal="right" vertical="top"/>
    </xf>
    <xf numFmtId="0" fontId="25" fillId="0" borderId="21" xfId="0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22" xfId="0" applyNumberFormat="1" applyFont="1" applyFill="1" applyBorder="1" applyAlignment="1">
      <alignment vertical="center"/>
    </xf>
    <xf numFmtId="0" fontId="21" fillId="0" borderId="23" xfId="0" applyNumberFormat="1" applyFont="1" applyFill="1" applyBorder="1" applyAlignment="1">
      <alignment vertical="center"/>
    </xf>
    <xf numFmtId="0" fontId="36" fillId="0" borderId="14" xfId="51" applyFont="1" applyFill="1" applyBorder="1" applyAlignment="1">
      <alignment horizontal="left" vertical="top" wrapText="1"/>
      <protection/>
    </xf>
    <xf numFmtId="0" fontId="36" fillId="0" borderId="10" xfId="51" applyFont="1" applyFill="1" applyBorder="1" applyAlignment="1">
      <alignment horizontal="left" vertical="top" wrapText="1"/>
      <protection/>
    </xf>
    <xf numFmtId="0" fontId="36" fillId="0" borderId="12" xfId="51" applyFont="1" applyBorder="1" applyAlignment="1">
      <alignment horizontal="left" vertical="top" wrapText="1"/>
      <protection/>
    </xf>
    <xf numFmtId="0" fontId="36" fillId="0" borderId="13" xfId="51" applyFont="1" applyBorder="1" applyAlignment="1">
      <alignment horizontal="left" vertical="top" wrapText="1"/>
      <protection/>
    </xf>
    <xf numFmtId="0" fontId="36" fillId="0" borderId="12" xfId="51" applyFont="1" applyFill="1" applyBorder="1" applyAlignment="1">
      <alignment horizontal="left" vertical="top" wrapText="1"/>
      <protection/>
    </xf>
    <xf numFmtId="0" fontId="36" fillId="0" borderId="13" xfId="51" applyFont="1" applyFill="1" applyBorder="1" applyAlignment="1">
      <alignment horizontal="left" vertical="top" wrapText="1"/>
      <protection/>
    </xf>
    <xf numFmtId="0" fontId="30" fillId="2" borderId="12" xfId="51" applyFont="1" applyFill="1" applyBorder="1" applyAlignment="1">
      <alignment horizontal="left" vertical="top" wrapText="1"/>
      <protection/>
    </xf>
    <xf numFmtId="0" fontId="30" fillId="2" borderId="13" xfId="51" applyFont="1" applyFill="1" applyBorder="1" applyAlignment="1">
      <alignment horizontal="left" vertical="top" wrapText="1"/>
      <protection/>
    </xf>
    <xf numFmtId="0" fontId="34" fillId="0" borderId="12" xfId="51" applyFont="1" applyBorder="1" applyAlignment="1">
      <alignment horizontal="left" vertical="top" wrapText="1"/>
      <protection/>
    </xf>
    <xf numFmtId="0" fontId="34" fillId="0" borderId="24" xfId="51" applyFont="1" applyBorder="1" applyAlignment="1">
      <alignment horizontal="left" vertical="top" wrapText="1"/>
      <protection/>
    </xf>
    <xf numFmtId="0" fontId="34" fillId="0" borderId="13" xfId="51" applyFont="1" applyBorder="1" applyAlignment="1">
      <alignment horizontal="left" vertical="top" wrapText="1"/>
      <protection/>
    </xf>
    <xf numFmtId="0" fontId="35" fillId="0" borderId="14" xfId="51" applyFont="1" applyFill="1" applyBorder="1" applyAlignment="1">
      <alignment horizontal="left" vertical="top" wrapText="1"/>
      <protection/>
    </xf>
    <xf numFmtId="0" fontId="35" fillId="0" borderId="10" xfId="51" applyFont="1" applyFill="1" applyBorder="1" applyAlignment="1">
      <alignment horizontal="left" vertical="top" wrapText="1"/>
      <protection/>
    </xf>
    <xf numFmtId="0" fontId="28" fillId="0" borderId="12" xfId="51" applyFont="1" applyBorder="1" applyAlignment="1">
      <alignment horizontal="left" vertical="top" wrapText="1"/>
      <protection/>
    </xf>
    <xf numFmtId="0" fontId="28" fillId="0" borderId="13" xfId="51" applyFont="1" applyBorder="1" applyAlignment="1">
      <alignment horizontal="left" vertical="top" wrapText="1"/>
      <protection/>
    </xf>
    <xf numFmtId="0" fontId="20" fillId="18" borderId="12" xfId="51" applyFont="1" applyFill="1" applyBorder="1" applyAlignment="1">
      <alignment horizontal="left" vertical="top"/>
      <protection/>
    </xf>
    <xf numFmtId="0" fontId="20" fillId="18" borderId="13" xfId="51" applyFont="1" applyFill="1" applyBorder="1" applyAlignment="1">
      <alignment horizontal="left" vertical="top"/>
      <protection/>
    </xf>
    <xf numFmtId="0" fontId="30" fillId="18" borderId="12" xfId="51" applyFont="1" applyFill="1" applyBorder="1" applyAlignment="1">
      <alignment horizontal="left" vertical="top"/>
      <protection/>
    </xf>
    <xf numFmtId="0" fontId="30" fillId="18" borderId="13" xfId="51" applyFont="1" applyFill="1" applyBorder="1" applyAlignment="1">
      <alignment horizontal="left" vertical="top"/>
      <protection/>
    </xf>
    <xf numFmtId="0" fontId="20" fillId="2" borderId="12" xfId="51" applyFont="1" applyFill="1" applyBorder="1" applyAlignment="1">
      <alignment horizontal="left" vertical="top"/>
      <protection/>
    </xf>
    <xf numFmtId="0" fontId="20" fillId="2" borderId="13" xfId="51" applyFont="1" applyFill="1" applyBorder="1" applyAlignment="1">
      <alignment horizontal="left" vertical="top"/>
      <protection/>
    </xf>
    <xf numFmtId="0" fontId="35" fillId="0" borderId="25" xfId="51" applyFont="1" applyFill="1" applyBorder="1" applyAlignment="1">
      <alignment horizontal="left" vertical="center" wrapText="1"/>
      <protection/>
    </xf>
    <xf numFmtId="0" fontId="35" fillId="0" borderId="26" xfId="51" applyFont="1" applyFill="1" applyBorder="1" applyAlignment="1">
      <alignment horizontal="lef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34" fillId="0" borderId="14" xfId="51" applyFont="1" applyBorder="1" applyAlignment="1">
      <alignment horizontal="left" vertical="top"/>
      <protection/>
    </xf>
    <xf numFmtId="0" fontId="34" fillId="0" borderId="15" xfId="51" applyFont="1" applyBorder="1" applyAlignment="1">
      <alignment horizontal="left" vertical="top"/>
      <protection/>
    </xf>
    <xf numFmtId="0" fontId="34" fillId="0" borderId="10" xfId="51" applyFont="1" applyBorder="1" applyAlignment="1">
      <alignment horizontal="left" vertical="top"/>
      <protection/>
    </xf>
    <xf numFmtId="0" fontId="35" fillId="0" borderId="27" xfId="51" applyFont="1" applyFill="1" applyBorder="1" applyAlignment="1">
      <alignment horizontal="left" vertical="top"/>
      <protection/>
    </xf>
    <xf numFmtId="0" fontId="35" fillId="0" borderId="28" xfId="51" applyFont="1" applyFill="1" applyBorder="1" applyAlignment="1">
      <alignment horizontal="left" vertical="top"/>
      <protection/>
    </xf>
    <xf numFmtId="0" fontId="35" fillId="0" borderId="14" xfId="51" applyFont="1" applyFill="1" applyBorder="1" applyAlignment="1">
      <alignment horizontal="left" vertical="top"/>
      <protection/>
    </xf>
    <xf numFmtId="0" fontId="35" fillId="0" borderId="10" xfId="51" applyFont="1" applyFill="1" applyBorder="1" applyAlignment="1">
      <alignment horizontal="left" vertical="top"/>
      <protection/>
    </xf>
    <xf numFmtId="0" fontId="36" fillId="0" borderId="29" xfId="51" applyFont="1" applyFill="1" applyBorder="1" applyAlignment="1">
      <alignment horizontal="left" vertical="center" wrapText="1"/>
      <protection/>
    </xf>
    <xf numFmtId="0" fontId="36" fillId="0" borderId="30" xfId="51" applyFont="1" applyFill="1" applyBorder="1" applyAlignment="1">
      <alignment horizontal="left" vertical="center" wrapText="1"/>
      <protection/>
    </xf>
    <xf numFmtId="0" fontId="27" fillId="0" borderId="31" xfId="51" applyFont="1" applyFill="1" applyBorder="1" applyAlignment="1">
      <alignment horizontal="center" vertical="center" wrapText="1"/>
      <protection/>
    </xf>
    <xf numFmtId="0" fontId="27" fillId="0" borderId="32" xfId="51" applyFont="1" applyFill="1" applyBorder="1" applyAlignment="1">
      <alignment horizontal="center" vertical="center" wrapText="1"/>
      <protection/>
    </xf>
    <xf numFmtId="0" fontId="21" fillId="0" borderId="33" xfId="51" applyFont="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8" fillId="0" borderId="24" xfId="51" applyFont="1" applyBorder="1" applyAlignment="1">
      <alignment horizontal="left" vertical="top" wrapText="1"/>
      <protection/>
    </xf>
    <xf numFmtId="0" fontId="36" fillId="0" borderId="12" xfId="51" applyFont="1" applyFill="1" applyBorder="1" applyAlignment="1">
      <alignment horizontal="left" vertical="center" wrapText="1"/>
      <protection/>
    </xf>
    <xf numFmtId="0" fontId="36" fillId="0" borderId="13" xfId="51" applyFont="1" applyFill="1" applyBorder="1" applyAlignment="1">
      <alignment horizontal="left" vertical="center" wrapText="1"/>
      <protection/>
    </xf>
    <xf numFmtId="0" fontId="40" fillId="0" borderId="14" xfId="51" applyFont="1" applyBorder="1" applyAlignment="1">
      <alignment horizontal="left" vertical="top"/>
      <protection/>
    </xf>
    <xf numFmtId="0" fontId="40" fillId="0" borderId="10" xfId="51" applyFont="1" applyBorder="1" applyAlignment="1">
      <alignment horizontal="left" vertical="top"/>
      <protection/>
    </xf>
    <xf numFmtId="0" fontId="20" fillId="0" borderId="21" xfId="51" applyFont="1" applyBorder="1" applyAlignment="1">
      <alignment horizontal="center" vertical="top"/>
      <protection/>
    </xf>
    <xf numFmtId="0" fontId="20" fillId="0" borderId="21" xfId="51" applyFont="1" applyBorder="1" applyAlignment="1">
      <alignment horizontal="right" vertical="top"/>
      <protection/>
    </xf>
    <xf numFmtId="0" fontId="21" fillId="0" borderId="34" xfId="51" applyFont="1" applyBorder="1" applyAlignment="1">
      <alignment horizontal="center" vertical="center"/>
      <protection/>
    </xf>
    <xf numFmtId="0" fontId="21" fillId="0" borderId="35" xfId="51" applyFont="1" applyBorder="1" applyAlignment="1">
      <alignment horizontal="center" vertical="center"/>
      <protection/>
    </xf>
    <xf numFmtId="0" fontId="21" fillId="0" borderId="25" xfId="51" applyFont="1" applyBorder="1" applyAlignment="1">
      <alignment horizontal="center" vertical="center"/>
      <protection/>
    </xf>
    <xf numFmtId="0" fontId="21" fillId="0" borderId="26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14" borderId="11" xfId="51" applyFont="1" applyFill="1" applyBorder="1" applyAlignment="1">
      <alignment horizontal="center" vertical="center" wrapText="1"/>
      <protection/>
    </xf>
    <xf numFmtId="3" fontId="0" fillId="0" borderId="11" xfId="53" applyNumberFormat="1" applyFill="1" applyBorder="1" applyAlignment="1">
      <alignment/>
    </xf>
    <xf numFmtId="10" fontId="0" fillId="0" borderId="11" xfId="53" applyNumberForma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zedsięwzięcia w WPF 2012-201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2"/>
  <sheetViews>
    <sheetView tabSelected="1" view="pageBreakPreview" zoomScaleSheetLayoutView="100" workbookViewId="0" topLeftCell="A1">
      <pane xSplit="2" ySplit="4" topLeftCell="C2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34" sqref="L34"/>
    </sheetView>
  </sheetViews>
  <sheetFormatPr defaultColWidth="9.140625" defaultRowHeight="12.75"/>
  <cols>
    <col min="1" max="1" width="4.140625" style="99" customWidth="1"/>
    <col min="2" max="2" width="34.57421875" style="100" customWidth="1"/>
    <col min="3" max="3" width="14.00390625" style="101" hidden="1" customWidth="1"/>
    <col min="4" max="4" width="14.140625" style="101" hidden="1" customWidth="1"/>
    <col min="5" max="5" width="13.8515625" style="101" hidden="1" customWidth="1"/>
    <col min="6" max="6" width="14.421875" style="101" hidden="1" customWidth="1"/>
    <col min="7" max="7" width="14.28125" style="101" customWidth="1"/>
    <col min="8" max="9" width="13.8515625" style="101" customWidth="1"/>
    <col min="10" max="10" width="14.57421875" style="101" bestFit="1" customWidth="1"/>
    <col min="11" max="11" width="13.421875" style="104" customWidth="1"/>
    <col min="12" max="12" width="13.421875" style="101" customWidth="1"/>
    <col min="13" max="17" width="13.57421875" style="101" bestFit="1" customWidth="1"/>
    <col min="18" max="19" width="9.140625" style="43" customWidth="1"/>
    <col min="20" max="20" width="10.7109375" style="43" bestFit="1" customWidth="1"/>
    <col min="21" max="16384" width="9.140625" style="43" customWidth="1"/>
  </cols>
  <sheetData>
    <row r="3" spans="1:17" ht="22.5" customHeight="1">
      <c r="A3" s="179" t="s">
        <v>43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8" t="s">
        <v>44</v>
      </c>
      <c r="P3" s="178"/>
      <c r="Q3" s="178"/>
    </row>
    <row r="4" spans="1:17" s="49" customFormat="1" ht="25.5">
      <c r="A4" s="44" t="s">
        <v>45</v>
      </c>
      <c r="B4" s="45" t="s">
        <v>46</v>
      </c>
      <c r="C4" s="46" t="s">
        <v>47</v>
      </c>
      <c r="D4" s="46" t="s">
        <v>48</v>
      </c>
      <c r="E4" s="46" t="s">
        <v>49</v>
      </c>
      <c r="F4" s="46" t="s">
        <v>50</v>
      </c>
      <c r="G4" s="46" t="s">
        <v>51</v>
      </c>
      <c r="H4" s="46" t="s">
        <v>52</v>
      </c>
      <c r="I4" s="46" t="s">
        <v>53</v>
      </c>
      <c r="J4" s="46" t="s">
        <v>54</v>
      </c>
      <c r="K4" s="47" t="s">
        <v>55</v>
      </c>
      <c r="L4" s="48" t="s">
        <v>56</v>
      </c>
      <c r="M4" s="46" t="s">
        <v>57</v>
      </c>
      <c r="N4" s="46" t="s">
        <v>58</v>
      </c>
      <c r="O4" s="46" t="s">
        <v>59</v>
      </c>
      <c r="P4" s="46" t="s">
        <v>60</v>
      </c>
      <c r="Q4" s="46" t="s">
        <v>61</v>
      </c>
    </row>
    <row r="5" spans="1:17" s="49" customFormat="1" ht="22.5" customHeight="1">
      <c r="A5" s="182" t="s">
        <v>62</v>
      </c>
      <c r="B5" s="183"/>
      <c r="C5" s="46"/>
      <c r="D5" s="46"/>
      <c r="E5" s="46"/>
      <c r="F5" s="46"/>
      <c r="G5" s="46"/>
      <c r="H5" s="46"/>
      <c r="I5" s="46"/>
      <c r="J5" s="46"/>
      <c r="K5" s="47"/>
      <c r="L5" s="48"/>
      <c r="M5" s="46"/>
      <c r="N5" s="46"/>
      <c r="O5" s="46"/>
      <c r="P5" s="46"/>
      <c r="Q5" s="46"/>
    </row>
    <row r="6" spans="1:17" s="54" customFormat="1" ht="12.75">
      <c r="A6" s="50">
        <v>1</v>
      </c>
      <c r="B6" s="51" t="s">
        <v>63</v>
      </c>
      <c r="C6" s="52">
        <f aca="true" t="shared" si="0" ref="C6:Q6">C7+C8</f>
        <v>129927056</v>
      </c>
      <c r="D6" s="52">
        <f t="shared" si="0"/>
        <v>138078883</v>
      </c>
      <c r="E6" s="52">
        <f t="shared" si="0"/>
        <v>146236298</v>
      </c>
      <c r="F6" s="52">
        <f t="shared" si="0"/>
        <v>179495469</v>
      </c>
      <c r="G6" s="52">
        <f t="shared" si="0"/>
        <v>164517791</v>
      </c>
      <c r="H6" s="52">
        <f t="shared" si="0"/>
        <v>146961800</v>
      </c>
      <c r="I6" s="52">
        <f t="shared" si="0"/>
        <v>151073073</v>
      </c>
      <c r="J6" s="52">
        <f t="shared" si="0"/>
        <v>152955995.92000002</v>
      </c>
      <c r="K6" s="53">
        <f t="shared" si="0"/>
        <v>158615367.76904002</v>
      </c>
      <c r="L6" s="52">
        <f t="shared" si="0"/>
        <v>164166905.6409564</v>
      </c>
      <c r="M6" s="52">
        <f t="shared" si="0"/>
        <v>169748580.4327489</v>
      </c>
      <c r="N6" s="52">
        <f t="shared" si="0"/>
        <v>175350283.5870296</v>
      </c>
      <c r="O6" s="52">
        <f t="shared" si="0"/>
        <v>180961492.66181457</v>
      </c>
      <c r="P6" s="52">
        <f t="shared" si="0"/>
        <v>186571298.93433082</v>
      </c>
      <c r="Q6" s="52">
        <f t="shared" si="0"/>
        <v>192168437.90236074</v>
      </c>
    </row>
    <row r="7" spans="1:17" ht="12.75">
      <c r="A7" s="55" t="s">
        <v>64</v>
      </c>
      <c r="B7" s="56" t="s">
        <v>65</v>
      </c>
      <c r="C7" s="57">
        <v>124203715</v>
      </c>
      <c r="D7" s="57">
        <v>122702875</v>
      </c>
      <c r="E7" s="57">
        <v>126894047</v>
      </c>
      <c r="F7" s="57">
        <v>131666015</v>
      </c>
      <c r="G7" s="58">
        <v>136841823</v>
      </c>
      <c r="H7" s="57">
        <f>141521415+31110</f>
        <v>141552525</v>
      </c>
      <c r="I7" s="57">
        <f>147040750+32323</f>
        <v>147073073</v>
      </c>
      <c r="J7" s="57">
        <f>I7*1.04</f>
        <v>152955995.92000002</v>
      </c>
      <c r="K7" s="59">
        <f>J7*1.037</f>
        <v>158615367.76904002</v>
      </c>
      <c r="L7" s="57">
        <f>K7*1.035</f>
        <v>164166905.6409564</v>
      </c>
      <c r="M7" s="57">
        <f>L7*1.034</f>
        <v>169748580.4327489</v>
      </c>
      <c r="N7" s="57">
        <f>M7*1.033</f>
        <v>175350283.5870296</v>
      </c>
      <c r="O7" s="57">
        <f>N7*1.032</f>
        <v>180961492.66181457</v>
      </c>
      <c r="P7" s="57">
        <f>O7*1.031</f>
        <v>186571298.93433082</v>
      </c>
      <c r="Q7" s="57">
        <f>P7*1.03</f>
        <v>192168437.90236074</v>
      </c>
    </row>
    <row r="8" spans="1:17" ht="12.75">
      <c r="A8" s="55" t="s">
        <v>66</v>
      </c>
      <c r="B8" s="56" t="s">
        <v>67</v>
      </c>
      <c r="C8" s="57">
        <v>5723341</v>
      </c>
      <c r="D8" s="57">
        <v>15376008</v>
      </c>
      <c r="E8" s="57">
        <v>19342251</v>
      </c>
      <c r="F8" s="57">
        <v>47829454</v>
      </c>
      <c r="G8" s="60">
        <v>27675968</v>
      </c>
      <c r="H8" s="60">
        <f>4000000+1409275</f>
        <v>5409275</v>
      </c>
      <c r="I8" s="57">
        <v>4000000</v>
      </c>
      <c r="J8" s="57"/>
      <c r="K8" s="59"/>
      <c r="L8" s="57"/>
      <c r="M8" s="57"/>
      <c r="N8" s="57"/>
      <c r="O8" s="57"/>
      <c r="P8" s="57"/>
      <c r="Q8" s="57"/>
    </row>
    <row r="9" spans="1:17" ht="12.75">
      <c r="A9" s="55" t="s">
        <v>68</v>
      </c>
      <c r="B9" s="56" t="s">
        <v>69</v>
      </c>
      <c r="C9" s="57">
        <v>644322</v>
      </c>
      <c r="D9" s="57">
        <v>1327622</v>
      </c>
      <c r="E9" s="57">
        <v>4963541</v>
      </c>
      <c r="F9" s="57">
        <v>4478759</v>
      </c>
      <c r="G9" s="57">
        <v>2693060</v>
      </c>
      <c r="H9" s="57">
        <v>4000000</v>
      </c>
      <c r="I9" s="57">
        <v>4000000</v>
      </c>
      <c r="J9" s="57"/>
      <c r="K9" s="59"/>
      <c r="L9" s="57"/>
      <c r="M9" s="57"/>
      <c r="N9" s="57"/>
      <c r="O9" s="57"/>
      <c r="P9" s="57"/>
      <c r="Q9" s="57"/>
    </row>
    <row r="10" spans="1:17" s="54" customFormat="1" ht="51">
      <c r="A10" s="50">
        <v>2</v>
      </c>
      <c r="B10" s="51" t="s">
        <v>70</v>
      </c>
      <c r="C10" s="52">
        <f>104122000-1</f>
        <v>104121999</v>
      </c>
      <c r="D10" s="52">
        <f>115390087-1</f>
        <v>115390086</v>
      </c>
      <c r="E10" s="52">
        <v>126415257</v>
      </c>
      <c r="F10" s="52">
        <v>130489326</v>
      </c>
      <c r="G10" s="52">
        <v>132735528</v>
      </c>
      <c r="H10" s="52">
        <v>131701381.85</v>
      </c>
      <c r="I10" s="52">
        <f>H10*1.025</f>
        <v>134993916.39624998</v>
      </c>
      <c r="J10" s="52">
        <f>I10*1.025</f>
        <v>138368764.30615622</v>
      </c>
      <c r="K10" s="53">
        <f>J10*1.025</f>
        <v>141827983.4138101</v>
      </c>
      <c r="L10" s="52">
        <f>K10*1.025</f>
        <v>145373682.99915534</v>
      </c>
      <c r="M10" s="52">
        <f>L10*1.024</f>
        <v>148862651.39113507</v>
      </c>
      <c r="N10" s="52">
        <f>M10*1.024</f>
        <v>152435355.0245223</v>
      </c>
      <c r="O10" s="52">
        <f>N10*1.024</f>
        <v>156093803.54511085</v>
      </c>
      <c r="P10" s="52">
        <f>O10*1.024</f>
        <v>159840054.83019352</v>
      </c>
      <c r="Q10" s="52">
        <f>P10*1.024</f>
        <v>163676216.14611816</v>
      </c>
    </row>
    <row r="11" spans="1:17" ht="25.5">
      <c r="A11" s="55" t="s">
        <v>71</v>
      </c>
      <c r="B11" s="56" t="s">
        <v>72</v>
      </c>
      <c r="C11" s="60">
        <v>56403262</v>
      </c>
      <c r="D11" s="60">
        <v>62155974</v>
      </c>
      <c r="E11" s="57">
        <v>66294489</v>
      </c>
      <c r="F11" s="57">
        <v>68462278</v>
      </c>
      <c r="G11" s="57">
        <v>72120921</v>
      </c>
      <c r="H11" s="57">
        <v>72256835</v>
      </c>
      <c r="I11" s="57">
        <f aca="true" t="shared" si="1" ref="I11:Q11">+H11*1.03</f>
        <v>74424540.05</v>
      </c>
      <c r="J11" s="57">
        <f t="shared" si="1"/>
        <v>76657276.2515</v>
      </c>
      <c r="K11" s="59">
        <f t="shared" si="1"/>
        <v>78956994.53904499</v>
      </c>
      <c r="L11" s="57">
        <f t="shared" si="1"/>
        <v>81325704.37521635</v>
      </c>
      <c r="M11" s="57">
        <f t="shared" si="1"/>
        <v>83765475.50647284</v>
      </c>
      <c r="N11" s="57">
        <f t="shared" si="1"/>
        <v>86278439.77166703</v>
      </c>
      <c r="O11" s="57">
        <f t="shared" si="1"/>
        <v>88866792.96481705</v>
      </c>
      <c r="P11" s="57">
        <f t="shared" si="1"/>
        <v>91532796.75376156</v>
      </c>
      <c r="Q11" s="57">
        <f t="shared" si="1"/>
        <v>94278780.65637441</v>
      </c>
    </row>
    <row r="12" spans="1:17" ht="12.75">
      <c r="A12" s="55" t="s">
        <v>73</v>
      </c>
      <c r="B12" s="56" t="s">
        <v>74</v>
      </c>
      <c r="C12" s="60">
        <v>8569307</v>
      </c>
      <c r="D12" s="60">
        <v>8593601</v>
      </c>
      <c r="E12" s="57">
        <v>9228070</v>
      </c>
      <c r="F12" s="57">
        <v>9523529</v>
      </c>
      <c r="G12" s="57">
        <v>9844757</v>
      </c>
      <c r="H12" s="57">
        <v>9870185</v>
      </c>
      <c r="I12" s="57">
        <f>+H12*1.025</f>
        <v>10116939.625</v>
      </c>
      <c r="J12" s="57">
        <f>+I12*1.025</f>
        <v>10369863.115625</v>
      </c>
      <c r="K12" s="59">
        <f>+J12*1.025</f>
        <v>10629109.693515623</v>
      </c>
      <c r="L12" s="57">
        <f>+K12*1.025</f>
        <v>10894837.435853513</v>
      </c>
      <c r="M12" s="57">
        <f>+L12*1.025</f>
        <v>11167208.37174985</v>
      </c>
      <c r="N12" s="57">
        <f>+M12*1.024</f>
        <v>11435221.372671846</v>
      </c>
      <c r="O12" s="57">
        <f>+N12*1.024</f>
        <v>11709666.685615972</v>
      </c>
      <c r="P12" s="57">
        <f>+O12*1.024</f>
        <v>11990698.686070755</v>
      </c>
      <c r="Q12" s="57">
        <f>+P12*1.024</f>
        <v>12278475.454536453</v>
      </c>
    </row>
    <row r="13" spans="1:17" ht="12.75">
      <c r="A13" s="55" t="s">
        <v>75</v>
      </c>
      <c r="B13" s="56" t="s">
        <v>76</v>
      </c>
      <c r="C13" s="57">
        <v>0</v>
      </c>
      <c r="D13" s="57">
        <v>0</v>
      </c>
      <c r="E13" s="57">
        <v>0</v>
      </c>
      <c r="F13" s="57">
        <v>417759</v>
      </c>
      <c r="G13" s="57">
        <v>666400</v>
      </c>
      <c r="H13" s="57">
        <v>658499</v>
      </c>
      <c r="I13" s="57">
        <v>650598</v>
      </c>
      <c r="J13" s="57">
        <v>541396</v>
      </c>
      <c r="K13" s="59">
        <v>636112</v>
      </c>
      <c r="L13" s="57">
        <v>628211</v>
      </c>
      <c r="M13" s="57">
        <v>620310</v>
      </c>
      <c r="N13" s="57">
        <v>358955</v>
      </c>
      <c r="O13" s="57">
        <v>0</v>
      </c>
      <c r="P13" s="57">
        <v>0</v>
      </c>
      <c r="Q13" s="57">
        <v>0</v>
      </c>
    </row>
    <row r="14" spans="1:17" ht="38.25">
      <c r="A14" s="55" t="s">
        <v>77</v>
      </c>
      <c r="B14" s="56" t="s">
        <v>78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9">
        <v>0</v>
      </c>
      <c r="L14" s="57">
        <v>0</v>
      </c>
      <c r="M14" s="57">
        <v>0</v>
      </c>
      <c r="N14" s="57">
        <v>0</v>
      </c>
      <c r="O14" s="57">
        <v>0</v>
      </c>
      <c r="P14" s="57"/>
      <c r="Q14" s="57"/>
    </row>
    <row r="15" spans="1:17" ht="25.5">
      <c r="A15" s="55" t="s">
        <v>79</v>
      </c>
      <c r="B15" s="61" t="s">
        <v>80</v>
      </c>
      <c r="C15" s="57">
        <v>0</v>
      </c>
      <c r="D15" s="57">
        <v>0</v>
      </c>
      <c r="E15" s="57">
        <v>0</v>
      </c>
      <c r="F15" s="57">
        <v>3473329</v>
      </c>
      <c r="G15" s="60">
        <v>6020948</v>
      </c>
      <c r="H15" s="60">
        <v>3187756</v>
      </c>
      <c r="I15" s="60">
        <v>1252563</v>
      </c>
      <c r="J15" s="60">
        <f>541396+42000</f>
        <v>583396</v>
      </c>
      <c r="K15" s="59">
        <v>636112</v>
      </c>
      <c r="L15" s="60">
        <v>628211</v>
      </c>
      <c r="M15" s="60">
        <v>620310</v>
      </c>
      <c r="N15" s="60">
        <v>358955</v>
      </c>
      <c r="O15" s="60">
        <v>0</v>
      </c>
      <c r="P15" s="60">
        <v>0</v>
      </c>
      <c r="Q15" s="60">
        <v>0</v>
      </c>
    </row>
    <row r="16" spans="1:17" ht="12.75">
      <c r="A16" s="55">
        <v>3</v>
      </c>
      <c r="B16" s="56" t="s">
        <v>81</v>
      </c>
      <c r="C16" s="57">
        <f aca="true" t="shared" si="2" ref="C16:J16">C6-C10</f>
        <v>25805057</v>
      </c>
      <c r="D16" s="57">
        <f t="shared" si="2"/>
        <v>22688797</v>
      </c>
      <c r="E16" s="57">
        <f t="shared" si="2"/>
        <v>19821041</v>
      </c>
      <c r="F16" s="57">
        <f t="shared" si="2"/>
        <v>49006143</v>
      </c>
      <c r="G16" s="57">
        <f t="shared" si="2"/>
        <v>31782263</v>
      </c>
      <c r="H16" s="57">
        <f t="shared" si="2"/>
        <v>15260418.150000006</v>
      </c>
      <c r="I16" s="57">
        <f t="shared" si="2"/>
        <v>16079156.60375002</v>
      </c>
      <c r="J16" s="57">
        <f t="shared" si="2"/>
        <v>14587231.613843799</v>
      </c>
      <c r="K16" s="59">
        <f>K6-K10+1</f>
        <v>16787385.355229914</v>
      </c>
      <c r="L16" s="57">
        <f aca="true" t="shared" si="3" ref="L16:Q16">L6-L10</f>
        <v>18793222.64180106</v>
      </c>
      <c r="M16" s="57">
        <f t="shared" si="3"/>
        <v>20885929.041613847</v>
      </c>
      <c r="N16" s="57">
        <f t="shared" si="3"/>
        <v>22914928.5625073</v>
      </c>
      <c r="O16" s="57">
        <f t="shared" si="3"/>
        <v>24867689.11670372</v>
      </c>
      <c r="P16" s="57">
        <f t="shared" si="3"/>
        <v>26731244.1041373</v>
      </c>
      <c r="Q16" s="57">
        <f t="shared" si="3"/>
        <v>28492221.756242573</v>
      </c>
    </row>
    <row r="17" spans="1:17" ht="38.25">
      <c r="A17" s="62">
        <v>4</v>
      </c>
      <c r="B17" s="56" t="s">
        <v>82</v>
      </c>
      <c r="C17" s="60">
        <v>0</v>
      </c>
      <c r="D17" s="60">
        <v>4152945</v>
      </c>
      <c r="E17" s="60">
        <v>1755236</v>
      </c>
      <c r="F17" s="60">
        <v>683857</v>
      </c>
      <c r="G17" s="60">
        <v>1801237</v>
      </c>
      <c r="H17" s="60">
        <f aca="true" t="shared" si="4" ref="H17:O17">G30</f>
        <v>0</v>
      </c>
      <c r="I17" s="60">
        <f t="shared" si="4"/>
        <v>0.15000000596046448</v>
      </c>
      <c r="J17" s="60">
        <f t="shared" si="4"/>
        <v>-0.2462499737739563</v>
      </c>
      <c r="K17" s="59">
        <f t="shared" si="4"/>
        <v>0.36759382486343384</v>
      </c>
      <c r="L17" s="60">
        <f t="shared" si="4"/>
        <v>-0.27717626094818115</v>
      </c>
      <c r="M17" s="60">
        <f t="shared" si="4"/>
        <v>0.3646247982978821</v>
      </c>
      <c r="N17" s="60">
        <f t="shared" si="4"/>
        <v>0.4062386453151703</v>
      </c>
      <c r="O17" s="60">
        <f t="shared" si="4"/>
        <v>-0.03125405311584473</v>
      </c>
      <c r="P17" s="60">
        <f>N30</f>
        <v>-0.03125405311584473</v>
      </c>
      <c r="Q17" s="60">
        <f>O30</f>
        <v>0.08544966578483582</v>
      </c>
    </row>
    <row r="18" spans="1:17" ht="51">
      <c r="A18" s="62" t="s">
        <v>83</v>
      </c>
      <c r="B18" s="56" t="s">
        <v>84</v>
      </c>
      <c r="C18" s="60">
        <v>0</v>
      </c>
      <c r="D18" s="60">
        <v>4152945</v>
      </c>
      <c r="E18" s="60">
        <v>1755236</v>
      </c>
      <c r="F18" s="60">
        <v>683857</v>
      </c>
      <c r="G18" s="60"/>
      <c r="H18" s="60"/>
      <c r="I18" s="60"/>
      <c r="J18" s="60"/>
      <c r="K18" s="59"/>
      <c r="L18" s="60"/>
      <c r="M18" s="60"/>
      <c r="N18" s="60"/>
      <c r="O18" s="60"/>
      <c r="P18" s="60"/>
      <c r="Q18" s="60"/>
    </row>
    <row r="19" spans="1:17" ht="25.5">
      <c r="A19" s="62">
        <v>5</v>
      </c>
      <c r="B19" s="56" t="s">
        <v>85</v>
      </c>
      <c r="C19" s="60">
        <v>0</v>
      </c>
      <c r="D19" s="60">
        <v>2100000</v>
      </c>
      <c r="E19" s="60">
        <v>2100000</v>
      </c>
      <c r="F19" s="60">
        <v>2000000</v>
      </c>
      <c r="G19" s="60">
        <v>2000000</v>
      </c>
      <c r="H19" s="60">
        <v>0</v>
      </c>
      <c r="I19" s="60">
        <v>0</v>
      </c>
      <c r="J19" s="60">
        <v>0</v>
      </c>
      <c r="K19" s="59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</row>
    <row r="20" spans="1:17" ht="12.75">
      <c r="A20" s="55">
        <v>6</v>
      </c>
      <c r="B20" s="56" t="s">
        <v>86</v>
      </c>
      <c r="C20" s="57">
        <f aca="true" t="shared" si="5" ref="C20:I20">C16+C17+C19</f>
        <v>25805057</v>
      </c>
      <c r="D20" s="57">
        <f t="shared" si="5"/>
        <v>28941742</v>
      </c>
      <c r="E20" s="57">
        <f t="shared" si="5"/>
        <v>23676277</v>
      </c>
      <c r="F20" s="57">
        <f t="shared" si="5"/>
        <v>51690000</v>
      </c>
      <c r="G20" s="57">
        <f t="shared" si="5"/>
        <v>35583500</v>
      </c>
      <c r="H20" s="57">
        <f t="shared" si="5"/>
        <v>15260418.150000006</v>
      </c>
      <c r="I20" s="57">
        <f t="shared" si="5"/>
        <v>16079156.753750026</v>
      </c>
      <c r="J20" s="57">
        <f>J16+J17+J19+1</f>
        <v>14587232.367593825</v>
      </c>
      <c r="K20" s="59">
        <f>K16+K17+K19-1</f>
        <v>16787384.72282374</v>
      </c>
      <c r="L20" s="57">
        <f>L16+L17+L19+1</f>
        <v>18793223.3646248</v>
      </c>
      <c r="M20" s="57">
        <f>M16+M17+M19</f>
        <v>20885929.406238645</v>
      </c>
      <c r="N20" s="57">
        <f>N16+N17+N19</f>
        <v>22914928.968745947</v>
      </c>
      <c r="O20" s="57">
        <f>O16+O17+O19</f>
        <v>24867689.085449666</v>
      </c>
      <c r="P20" s="57">
        <f>P16+P17+P19</f>
        <v>26731244.07288325</v>
      </c>
      <c r="Q20" s="57">
        <f>Q16+Q17+Q19</f>
        <v>28492221.84169224</v>
      </c>
    </row>
    <row r="21" spans="1:17" s="54" customFormat="1" ht="12.75">
      <c r="A21" s="63">
        <v>7</v>
      </c>
      <c r="B21" s="51" t="s">
        <v>87</v>
      </c>
      <c r="C21" s="52">
        <f aca="true" t="shared" si="6" ref="C21:Q21">SUM(C22:C23)</f>
        <v>4175906</v>
      </c>
      <c r="D21" s="52">
        <f t="shared" si="6"/>
        <v>3855630</v>
      </c>
      <c r="E21" s="52">
        <f t="shared" si="6"/>
        <v>5072953</v>
      </c>
      <c r="F21" s="52">
        <f t="shared" si="6"/>
        <v>25254732</v>
      </c>
      <c r="G21" s="52">
        <f t="shared" si="6"/>
        <v>15795799</v>
      </c>
      <c r="H21" s="52">
        <f t="shared" si="6"/>
        <v>7849115</v>
      </c>
      <c r="I21" s="52">
        <f t="shared" si="6"/>
        <v>5035446</v>
      </c>
      <c r="J21" s="52">
        <f t="shared" si="6"/>
        <v>5834965</v>
      </c>
      <c r="K21" s="53">
        <f t="shared" si="6"/>
        <v>5593319</v>
      </c>
      <c r="L21" s="52">
        <f t="shared" si="6"/>
        <v>5372763</v>
      </c>
      <c r="M21" s="52">
        <f t="shared" si="6"/>
        <v>4864260</v>
      </c>
      <c r="N21" s="52">
        <f t="shared" si="6"/>
        <v>4552973</v>
      </c>
      <c r="O21" s="52">
        <f t="shared" si="6"/>
        <v>3574056</v>
      </c>
      <c r="P21" s="52">
        <f t="shared" si="6"/>
        <v>3417799</v>
      </c>
      <c r="Q21" s="52">
        <f t="shared" si="6"/>
        <v>2983256</v>
      </c>
    </row>
    <row r="22" spans="1:20" s="68" customFormat="1" ht="38.25">
      <c r="A22" s="64" t="s">
        <v>88</v>
      </c>
      <c r="B22" s="65" t="s">
        <v>89</v>
      </c>
      <c r="C22" s="66">
        <v>3256004</v>
      </c>
      <c r="D22" s="66">
        <v>3238649</v>
      </c>
      <c r="E22" s="66">
        <v>3880159</v>
      </c>
      <c r="F22" s="66">
        <v>23326218</v>
      </c>
      <c r="G22" s="66">
        <v>13710515</v>
      </c>
      <c r="H22" s="66">
        <v>5822431</v>
      </c>
      <c r="I22" s="66">
        <v>3393186</v>
      </c>
      <c r="J22" s="66">
        <v>4357953</v>
      </c>
      <c r="K22" s="67">
        <v>4337665</v>
      </c>
      <c r="L22" s="66">
        <v>4337663</v>
      </c>
      <c r="M22" s="66">
        <v>4043556</v>
      </c>
      <c r="N22" s="66">
        <v>3946480</v>
      </c>
      <c r="O22" s="66">
        <v>3140971</v>
      </c>
      <c r="P22" s="66">
        <v>3121685</v>
      </c>
      <c r="Q22" s="66">
        <v>2848627</v>
      </c>
      <c r="T22" s="69">
        <f>SUM(G22:Q22)</f>
        <v>53060732</v>
      </c>
    </row>
    <row r="23" spans="1:17" s="68" customFormat="1" ht="12.75">
      <c r="A23" s="64" t="s">
        <v>90</v>
      </c>
      <c r="B23" s="65" t="s">
        <v>91</v>
      </c>
      <c r="C23" s="66">
        <v>919902</v>
      </c>
      <c r="D23" s="66">
        <v>616981</v>
      </c>
      <c r="E23" s="66">
        <v>1192794</v>
      </c>
      <c r="F23" s="66">
        <v>1928514</v>
      </c>
      <c r="G23" s="66">
        <v>2085284</v>
      </c>
      <c r="H23" s="66">
        <v>2026684</v>
      </c>
      <c r="I23" s="66">
        <f>1642260</f>
        <v>1642260</v>
      </c>
      <c r="J23" s="66">
        <v>1477012</v>
      </c>
      <c r="K23" s="67">
        <v>1255654</v>
      </c>
      <c r="L23" s="66">
        <v>1035100</v>
      </c>
      <c r="M23" s="66">
        <v>820704</v>
      </c>
      <c r="N23" s="66">
        <v>606493</v>
      </c>
      <c r="O23" s="66">
        <v>433085</v>
      </c>
      <c r="P23" s="66">
        <v>296114</v>
      </c>
      <c r="Q23" s="66">
        <v>134629</v>
      </c>
    </row>
    <row r="24" spans="1:17" ht="25.5">
      <c r="A24" s="55">
        <v>8</v>
      </c>
      <c r="B24" s="56" t="s">
        <v>92</v>
      </c>
      <c r="C24" s="57">
        <v>634705</v>
      </c>
      <c r="D24" s="57">
        <v>2100000</v>
      </c>
      <c r="E24" s="57">
        <v>3900000</v>
      </c>
      <c r="F24" s="57">
        <v>200000</v>
      </c>
      <c r="G24" s="57">
        <v>0</v>
      </c>
      <c r="H24" s="57">
        <v>0</v>
      </c>
      <c r="I24" s="57">
        <v>0</v>
      </c>
      <c r="J24" s="57">
        <v>0</v>
      </c>
      <c r="K24" s="59">
        <v>0</v>
      </c>
      <c r="L24" s="57">
        <v>0</v>
      </c>
      <c r="M24" s="57">
        <v>0</v>
      </c>
      <c r="N24" s="57">
        <v>0</v>
      </c>
      <c r="O24" s="57">
        <v>0</v>
      </c>
      <c r="P24" s="57"/>
      <c r="Q24" s="57"/>
    </row>
    <row r="25" spans="1:17" ht="12.75">
      <c r="A25" s="55">
        <v>9</v>
      </c>
      <c r="B25" s="56" t="s">
        <v>93</v>
      </c>
      <c r="C25" s="57">
        <f aca="true" t="shared" si="7" ref="C25:Q25">C20-C21-C24</f>
        <v>20994446</v>
      </c>
      <c r="D25" s="57">
        <f t="shared" si="7"/>
        <v>22986112</v>
      </c>
      <c r="E25" s="57">
        <f t="shared" si="7"/>
        <v>14703324</v>
      </c>
      <c r="F25" s="57">
        <f t="shared" si="7"/>
        <v>26235268</v>
      </c>
      <c r="G25" s="57">
        <f t="shared" si="7"/>
        <v>19787701</v>
      </c>
      <c r="H25" s="57">
        <f t="shared" si="7"/>
        <v>7411303.150000006</v>
      </c>
      <c r="I25" s="57">
        <f t="shared" si="7"/>
        <v>11043710.753750026</v>
      </c>
      <c r="J25" s="57">
        <f t="shared" si="7"/>
        <v>8752267.367593825</v>
      </c>
      <c r="K25" s="59">
        <f t="shared" si="7"/>
        <v>11194065.722823739</v>
      </c>
      <c r="L25" s="57">
        <f t="shared" si="7"/>
        <v>13420460.364624798</v>
      </c>
      <c r="M25" s="57">
        <f t="shared" si="7"/>
        <v>16021669.406238645</v>
      </c>
      <c r="N25" s="57">
        <f t="shared" si="7"/>
        <v>18361955.968745947</v>
      </c>
      <c r="O25" s="57">
        <f t="shared" si="7"/>
        <v>21293633.085449666</v>
      </c>
      <c r="P25" s="57">
        <f t="shared" si="7"/>
        <v>23313445.07288325</v>
      </c>
      <c r="Q25" s="57">
        <f t="shared" si="7"/>
        <v>25508965.84169224</v>
      </c>
    </row>
    <row r="26" spans="1:20" s="54" customFormat="1" ht="12.75">
      <c r="A26" s="50">
        <v>10</v>
      </c>
      <c r="B26" s="51" t="s">
        <v>94</v>
      </c>
      <c r="C26" s="52">
        <f>C27</f>
        <v>16841501</v>
      </c>
      <c r="D26" s="52">
        <f>D27</f>
        <v>28295151</v>
      </c>
      <c r="E26" s="52">
        <v>45079467</v>
      </c>
      <c r="F26" s="52">
        <v>42333191</v>
      </c>
      <c r="G26" s="70">
        <v>36683335</v>
      </c>
      <c r="H26" s="70">
        <v>7411303</v>
      </c>
      <c r="I26" s="52">
        <v>11043711</v>
      </c>
      <c r="J26" s="52">
        <v>8752267</v>
      </c>
      <c r="K26" s="53">
        <v>11194066</v>
      </c>
      <c r="L26" s="52">
        <v>13420460</v>
      </c>
      <c r="M26" s="52">
        <v>16021669</v>
      </c>
      <c r="N26" s="52">
        <v>18361956</v>
      </c>
      <c r="O26" s="52">
        <v>21293633</v>
      </c>
      <c r="P26" s="52">
        <v>23313445</v>
      </c>
      <c r="Q26" s="52">
        <v>25508966</v>
      </c>
      <c r="T26" s="71">
        <f>G28</f>
        <v>16895634</v>
      </c>
    </row>
    <row r="27" spans="1:17" ht="38.25">
      <c r="A27" s="55" t="s">
        <v>95</v>
      </c>
      <c r="B27" s="61" t="s">
        <v>96</v>
      </c>
      <c r="C27" s="57">
        <v>16841501</v>
      </c>
      <c r="D27" s="57">
        <v>28295151</v>
      </c>
      <c r="E27" s="57">
        <v>45079467</v>
      </c>
      <c r="F27" s="57">
        <v>9896440</v>
      </c>
      <c r="G27" s="60">
        <v>4954701</v>
      </c>
      <c r="H27" s="60">
        <v>6106701</v>
      </c>
      <c r="I27" s="60">
        <v>1767000</v>
      </c>
      <c r="J27" s="60"/>
      <c r="K27" s="59"/>
      <c r="L27" s="60"/>
      <c r="M27" s="60"/>
      <c r="N27" s="60"/>
      <c r="O27" s="60"/>
      <c r="P27" s="60"/>
      <c r="Q27" s="60"/>
    </row>
    <row r="28" spans="1:17" s="54" customFormat="1" ht="25.5">
      <c r="A28" s="63">
        <v>11</v>
      </c>
      <c r="B28" s="51" t="s">
        <v>136</v>
      </c>
      <c r="C28" s="52">
        <v>0</v>
      </c>
      <c r="D28" s="52">
        <v>7064275</v>
      </c>
      <c r="E28" s="52">
        <v>31060000</v>
      </c>
      <c r="F28" s="52">
        <v>16097923</v>
      </c>
      <c r="G28" s="52">
        <v>16895634</v>
      </c>
      <c r="H28" s="52"/>
      <c r="I28" s="52"/>
      <c r="J28" s="52"/>
      <c r="K28" s="53"/>
      <c r="L28" s="52"/>
      <c r="M28" s="52"/>
      <c r="N28" s="52"/>
      <c r="O28" s="52"/>
      <c r="P28" s="52"/>
      <c r="Q28" s="52"/>
    </row>
    <row r="29" spans="1:17" s="54" customFormat="1" ht="12.75">
      <c r="A29" s="92" t="s">
        <v>135</v>
      </c>
      <c r="B29" s="93" t="s">
        <v>137</v>
      </c>
      <c r="C29" s="58"/>
      <c r="D29" s="58"/>
      <c r="E29" s="58"/>
      <c r="F29" s="58"/>
      <c r="G29" s="58">
        <v>6986356</v>
      </c>
      <c r="H29" s="52"/>
      <c r="I29" s="52"/>
      <c r="J29" s="52"/>
      <c r="K29" s="53"/>
      <c r="L29" s="52"/>
      <c r="M29" s="52"/>
      <c r="N29" s="52"/>
      <c r="O29" s="52"/>
      <c r="P29" s="52"/>
      <c r="Q29" s="52"/>
    </row>
    <row r="30" spans="1:17" ht="12.75">
      <c r="A30" s="55">
        <v>12</v>
      </c>
      <c r="B30" s="56" t="s">
        <v>97</v>
      </c>
      <c r="C30" s="57">
        <f aca="true" t="shared" si="8" ref="C30:Q30">C25-C26+C28</f>
        <v>4152945</v>
      </c>
      <c r="D30" s="57">
        <f t="shared" si="8"/>
        <v>1755236</v>
      </c>
      <c r="E30" s="57">
        <f t="shared" si="8"/>
        <v>683857</v>
      </c>
      <c r="F30" s="57">
        <f t="shared" si="8"/>
        <v>0</v>
      </c>
      <c r="G30" s="57">
        <f t="shared" si="8"/>
        <v>0</v>
      </c>
      <c r="H30" s="60">
        <f t="shared" si="8"/>
        <v>0.15000000596046448</v>
      </c>
      <c r="I30" s="60">
        <f t="shared" si="8"/>
        <v>-0.2462499737739563</v>
      </c>
      <c r="J30" s="57">
        <f t="shared" si="8"/>
        <v>0.36759382486343384</v>
      </c>
      <c r="K30" s="59">
        <f t="shared" si="8"/>
        <v>-0.27717626094818115</v>
      </c>
      <c r="L30" s="57">
        <f t="shared" si="8"/>
        <v>0.3646247982978821</v>
      </c>
      <c r="M30" s="57">
        <f t="shared" si="8"/>
        <v>0.4062386453151703</v>
      </c>
      <c r="N30" s="57">
        <f t="shared" si="8"/>
        <v>-0.03125405311584473</v>
      </c>
      <c r="O30" s="57">
        <f t="shared" si="8"/>
        <v>0.08544966578483582</v>
      </c>
      <c r="P30" s="57">
        <f t="shared" si="8"/>
        <v>0.0728832483291626</v>
      </c>
      <c r="Q30" s="57">
        <f t="shared" si="8"/>
        <v>-0.1583077609539032</v>
      </c>
    </row>
    <row r="31" spans="1:17" ht="23.25" customHeight="1">
      <c r="A31" s="72"/>
      <c r="B31" s="73"/>
      <c r="C31" s="74"/>
      <c r="D31" s="74"/>
      <c r="E31" s="74"/>
      <c r="F31" s="74"/>
      <c r="G31" s="75"/>
      <c r="H31" s="75"/>
      <c r="I31" s="75"/>
      <c r="J31" s="74"/>
      <c r="K31" s="76"/>
      <c r="L31" s="74"/>
      <c r="M31" s="74"/>
      <c r="N31" s="74"/>
      <c r="O31" s="74"/>
      <c r="P31" s="77"/>
      <c r="Q31" s="77"/>
    </row>
    <row r="32" spans="1:17" ht="23.25" customHeight="1">
      <c r="A32" s="180" t="s">
        <v>98</v>
      </c>
      <c r="B32" s="181"/>
      <c r="C32" s="57"/>
      <c r="D32" s="57"/>
      <c r="E32" s="57"/>
      <c r="F32" s="57"/>
      <c r="G32" s="60"/>
      <c r="H32" s="60"/>
      <c r="I32" s="60"/>
      <c r="J32" s="57"/>
      <c r="K32" s="59"/>
      <c r="L32" s="57"/>
      <c r="M32" s="57"/>
      <c r="N32" s="57"/>
      <c r="O32" s="57"/>
      <c r="P32" s="57"/>
      <c r="Q32" s="57"/>
    </row>
    <row r="33" spans="1:17" s="68" customFormat="1" ht="12.75">
      <c r="A33" s="64">
        <v>13</v>
      </c>
      <c r="B33" s="65" t="s">
        <v>99</v>
      </c>
      <c r="C33" s="66">
        <v>13522494</v>
      </c>
      <c r="D33" s="66">
        <f>+C33+D28-D22</f>
        <v>17348120</v>
      </c>
      <c r="E33" s="66">
        <v>44420097</v>
      </c>
      <c r="F33" s="78">
        <v>36165098</v>
      </c>
      <c r="G33" s="78">
        <f aca="true" t="shared" si="9" ref="G33:Q33">F33+G28-G22</f>
        <v>39350217</v>
      </c>
      <c r="H33" s="78">
        <f t="shared" si="9"/>
        <v>33527786</v>
      </c>
      <c r="I33" s="78">
        <f t="shared" si="9"/>
        <v>30134600</v>
      </c>
      <c r="J33" s="78">
        <f t="shared" si="9"/>
        <v>25776647</v>
      </c>
      <c r="K33" s="67">
        <f t="shared" si="9"/>
        <v>21438982</v>
      </c>
      <c r="L33" s="78">
        <f t="shared" si="9"/>
        <v>17101319</v>
      </c>
      <c r="M33" s="78">
        <f t="shared" si="9"/>
        <v>13057763</v>
      </c>
      <c r="N33" s="78">
        <f t="shared" si="9"/>
        <v>9111283</v>
      </c>
      <c r="O33" s="78">
        <f t="shared" si="9"/>
        <v>5970312</v>
      </c>
      <c r="P33" s="78">
        <f t="shared" si="9"/>
        <v>2848627</v>
      </c>
      <c r="Q33" s="78">
        <f t="shared" si="9"/>
        <v>0</v>
      </c>
    </row>
    <row r="34" spans="1:17" ht="27" customHeight="1">
      <c r="A34" s="55" t="s">
        <v>100</v>
      </c>
      <c r="B34" s="56" t="s">
        <v>101</v>
      </c>
      <c r="C34" s="57"/>
      <c r="D34" s="57"/>
      <c r="E34" s="57"/>
      <c r="F34" s="57"/>
      <c r="G34" s="57"/>
      <c r="H34" s="57"/>
      <c r="I34" s="57"/>
      <c r="J34" s="57"/>
      <c r="K34" s="59"/>
      <c r="L34" s="57"/>
      <c r="M34" s="57"/>
      <c r="N34" s="57"/>
      <c r="O34" s="57"/>
      <c r="P34" s="57"/>
      <c r="Q34" s="57"/>
    </row>
    <row r="35" spans="1:17" ht="38.25">
      <c r="A35" s="55" t="s">
        <v>102</v>
      </c>
      <c r="B35" s="56" t="s">
        <v>103</v>
      </c>
      <c r="C35" s="57"/>
      <c r="D35" s="57"/>
      <c r="E35" s="57"/>
      <c r="F35" s="57"/>
      <c r="G35" s="57"/>
      <c r="H35" s="57"/>
      <c r="I35" s="57"/>
      <c r="J35" s="57"/>
      <c r="K35" s="59"/>
      <c r="L35" s="57"/>
      <c r="M35" s="57"/>
      <c r="N35" s="57"/>
      <c r="O35" s="57"/>
      <c r="P35" s="57"/>
      <c r="Q35" s="57"/>
    </row>
    <row r="36" spans="1:17" ht="24.75" customHeight="1">
      <c r="A36" s="55">
        <v>14</v>
      </c>
      <c r="B36" s="56" t="s">
        <v>104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80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1:17" ht="25.5">
      <c r="A37" s="55">
        <v>15</v>
      </c>
      <c r="B37" s="56" t="s">
        <v>105</v>
      </c>
      <c r="C37" s="81">
        <f aca="true" t="shared" si="10" ref="C37:Q37">(C22+C23+C13-C34)/C6</f>
        <v>0.03214038806513095</v>
      </c>
      <c r="D37" s="81">
        <f t="shared" si="10"/>
        <v>0.027923386373280554</v>
      </c>
      <c r="E37" s="81">
        <f t="shared" si="10"/>
        <v>0.034690108197350564</v>
      </c>
      <c r="F37" s="81">
        <f t="shared" si="10"/>
        <v>0.14302584429025336</v>
      </c>
      <c r="G37" s="81">
        <f t="shared" si="10"/>
        <v>0.10006333600722854</v>
      </c>
      <c r="H37" s="81">
        <f t="shared" si="10"/>
        <v>0.057889968685740104</v>
      </c>
      <c r="I37" s="81">
        <f t="shared" si="10"/>
        <v>0.03763770662161615</v>
      </c>
      <c r="J37" s="81">
        <f t="shared" si="10"/>
        <v>0.04168755178015384</v>
      </c>
      <c r="K37" s="82">
        <f t="shared" si="10"/>
        <v>0.039273817459293606</v>
      </c>
      <c r="L37" s="81">
        <f t="shared" si="10"/>
        <v>0.03655410313406599</v>
      </c>
      <c r="M37" s="81">
        <f t="shared" si="10"/>
        <v>0.03230996091995526</v>
      </c>
      <c r="N37" s="81">
        <f t="shared" si="10"/>
        <v>0.0280120904256315</v>
      </c>
      <c r="O37" s="81">
        <f t="shared" si="10"/>
        <v>0.019750367591625066</v>
      </c>
      <c r="P37" s="81">
        <f t="shared" si="10"/>
        <v>0.01831899664912015</v>
      </c>
      <c r="Q37" s="81">
        <f t="shared" si="10"/>
        <v>0.015524172609009648</v>
      </c>
    </row>
    <row r="38" spans="1:17" s="87" customFormat="1" ht="38.25" hidden="1">
      <c r="A38" s="83"/>
      <c r="B38" s="84" t="s">
        <v>106</v>
      </c>
      <c r="C38" s="85">
        <f>+(C22+C23-C34+C13)/C6</f>
        <v>0.03214038806513095</v>
      </c>
      <c r="D38" s="85">
        <f>+(D22+D23-D34+D13)/D6</f>
        <v>0.027923386373280554</v>
      </c>
      <c r="E38" s="85">
        <f>+(E22+E23-E34+E13)/E6</f>
        <v>0.034690108197350564</v>
      </c>
      <c r="F38" s="85">
        <f>+(F22+F23-F34+F13)/F6</f>
        <v>0.14302584429025336</v>
      </c>
      <c r="G38" s="85">
        <f aca="true" t="shared" si="11" ref="G38:Q38">+(G22+G23-G35)/G6</f>
        <v>0.09601271026061856</v>
      </c>
      <c r="H38" s="85">
        <f t="shared" si="11"/>
        <v>0.053409219266503265</v>
      </c>
      <c r="I38" s="85">
        <f t="shared" si="11"/>
        <v>0.033331194633209056</v>
      </c>
      <c r="J38" s="85">
        <f t="shared" si="11"/>
        <v>0.03814799782711257</v>
      </c>
      <c r="K38" s="86">
        <f t="shared" si="11"/>
        <v>0.03526341160173355</v>
      </c>
      <c r="L38" s="85">
        <f t="shared" si="11"/>
        <v>0.03272744271461496</v>
      </c>
      <c r="M38" s="85">
        <f t="shared" si="11"/>
        <v>0.028655674101069287</v>
      </c>
      <c r="N38" s="85">
        <f t="shared" si="11"/>
        <v>0.025965016462264658</v>
      </c>
      <c r="O38" s="85">
        <f t="shared" si="11"/>
        <v>0.019750367591625066</v>
      </c>
      <c r="P38" s="85">
        <f t="shared" si="11"/>
        <v>0.01831899664912015</v>
      </c>
      <c r="Q38" s="85">
        <f t="shared" si="11"/>
        <v>0.015524172609009648</v>
      </c>
    </row>
    <row r="39" spans="1:17" s="87" customFormat="1" ht="38.25" hidden="1">
      <c r="A39" s="83"/>
      <c r="B39" s="84" t="s">
        <v>107</v>
      </c>
      <c r="C39" s="85">
        <f>+(C7+C9-C48)/C6</f>
        <v>0.15244042780435202</v>
      </c>
      <c r="D39" s="85">
        <f>+(D7+D9-D48)/D6</f>
        <v>0.058107581881293176</v>
      </c>
      <c r="E39" s="85">
        <f>+(E7+E9-E48)/E6</f>
        <v>0.029059385789429654</v>
      </c>
      <c r="F39" s="85">
        <f>+(F7+F9-F48)/F6</f>
        <v>0.020763387626235846</v>
      </c>
      <c r="G39" s="85">
        <f>+(G7+G9-G48)/G6</f>
        <v>0.02865386759295838</v>
      </c>
      <c r="H39" s="85">
        <f>+(H7+H9-H48)/H6</f>
        <v>0.08045940611778031</v>
      </c>
      <c r="I39" s="85">
        <f>+(I7+I9-I48)/I6</f>
        <v>0.09556234156797763</v>
      </c>
      <c r="J39" s="85">
        <f>+(J7+J9-J48)/J6</f>
        <v>0.0857123614866382</v>
      </c>
      <c r="K39" s="86">
        <f>+(K7+K9-K48)/K6</f>
        <v>0.09792071584038238</v>
      </c>
      <c r="L39" s="85">
        <f>+(L7+L9-L48)/L6</f>
        <v>0.10817114796961098</v>
      </c>
      <c r="M39" s="85">
        <f>+(M7+M9-M48)/M6</f>
        <v>0.1182055542995442</v>
      </c>
      <c r="N39" s="85">
        <f>+(N7+N9-N48)/N6</f>
        <v>0.12722212423132587</v>
      </c>
      <c r="O39" s="85">
        <f>+(O7+O9-O48)/O6</f>
        <v>0.13502653938850806</v>
      </c>
      <c r="P39" s="85">
        <f>+(P7+P9-P48)/P6</f>
        <v>0.14168915720226566</v>
      </c>
      <c r="Q39" s="85">
        <f>+(Q7+Q9-Q48)/Q6</f>
        <v>0.14756633849857717</v>
      </c>
    </row>
    <row r="40" spans="1:17" ht="38.25">
      <c r="A40" s="55" t="s">
        <v>108</v>
      </c>
      <c r="B40" s="56" t="s">
        <v>109</v>
      </c>
      <c r="C40" s="88"/>
      <c r="D40" s="88"/>
      <c r="E40" s="88"/>
      <c r="F40" s="88">
        <f>+AVERAGE(C39:E39)</f>
        <v>0.07986913182502495</v>
      </c>
      <c r="G40" s="88">
        <f>+AVERAGE(D39,E39,F39)</f>
        <v>0.035976785098986226</v>
      </c>
      <c r="H40" s="88">
        <f>+AVERAGE(E39,F39,G39)</f>
        <v>0.02615888033620796</v>
      </c>
      <c r="I40" s="88">
        <f>+AVERAGE(F39,G39,H39)</f>
        <v>0.043292220445658176</v>
      </c>
      <c r="J40" s="88">
        <f aca="true" t="shared" si="12" ref="J40:O40">+AVERAGE(G39:I39)</f>
        <v>0.06822520509290543</v>
      </c>
      <c r="K40" s="89">
        <f t="shared" si="12"/>
        <v>0.08724470305746539</v>
      </c>
      <c r="L40" s="88">
        <f t="shared" si="12"/>
        <v>0.09306513963166607</v>
      </c>
      <c r="M40" s="88">
        <f t="shared" si="12"/>
        <v>0.0972680750988772</v>
      </c>
      <c r="N40" s="88">
        <f t="shared" si="12"/>
        <v>0.10809913936984585</v>
      </c>
      <c r="O40" s="88">
        <f t="shared" si="12"/>
        <v>0.11786627550016034</v>
      </c>
      <c r="P40" s="88">
        <f>+AVERAGE(L39:N39)</f>
        <v>0.11786627550016034</v>
      </c>
      <c r="Q40" s="88">
        <f>+AVERAGE(M39:O39)</f>
        <v>0.1268180726397927</v>
      </c>
    </row>
    <row r="41" spans="1:17" s="87" customFormat="1" ht="25.5" hidden="1">
      <c r="A41" s="83"/>
      <c r="B41" s="84" t="s">
        <v>110</v>
      </c>
      <c r="C41" s="85"/>
      <c r="D41" s="85"/>
      <c r="E41" s="85"/>
      <c r="F41" s="85"/>
      <c r="G41" s="85" t="e">
        <f>+AVERAGE(D39,F39,#REF!)</f>
        <v>#REF!</v>
      </c>
      <c r="H41" s="85" t="e">
        <f>+AVERAGE(F39,#REF!,G39)</f>
        <v>#REF!</v>
      </c>
      <c r="I41" s="85">
        <f>+AVERAGE(G39:H39)</f>
        <v>0.05455663685536934</v>
      </c>
      <c r="J41" s="85">
        <f aca="true" t="shared" si="13" ref="J41:O41">+AVERAGE(G39:I39)</f>
        <v>0.06822520509290543</v>
      </c>
      <c r="K41" s="90">
        <f t="shared" si="13"/>
        <v>0.08724470305746539</v>
      </c>
      <c r="L41" s="85">
        <f t="shared" si="13"/>
        <v>0.09306513963166607</v>
      </c>
      <c r="M41" s="85">
        <f t="shared" si="13"/>
        <v>0.0972680750988772</v>
      </c>
      <c r="N41" s="85">
        <f t="shared" si="13"/>
        <v>0.10809913936984585</v>
      </c>
      <c r="O41" s="85">
        <f t="shared" si="13"/>
        <v>0.11786627550016034</v>
      </c>
      <c r="P41" s="85">
        <f>+AVERAGE(L39:N39)</f>
        <v>0.11786627550016034</v>
      </c>
      <c r="Q41" s="85">
        <f>+AVERAGE(M39:O39)</f>
        <v>0.1268180726397927</v>
      </c>
    </row>
    <row r="42" spans="1:17" ht="25.5">
      <c r="A42" s="55">
        <v>16</v>
      </c>
      <c r="B42" s="56" t="s">
        <v>111</v>
      </c>
      <c r="C42" s="91" t="str">
        <f aca="true" t="shared" si="14" ref="C42:Q42">IF(C37&lt;C40,"TAK","NIE")</f>
        <v>NIE</v>
      </c>
      <c r="D42" s="91" t="str">
        <f t="shared" si="14"/>
        <v>NIE</v>
      </c>
      <c r="E42" s="91" t="str">
        <f t="shared" si="14"/>
        <v>NIE</v>
      </c>
      <c r="F42" s="91" t="str">
        <f t="shared" si="14"/>
        <v>NIE</v>
      </c>
      <c r="G42" s="91" t="str">
        <f t="shared" si="14"/>
        <v>NIE</v>
      </c>
      <c r="H42" s="91" t="str">
        <f t="shared" si="14"/>
        <v>NIE</v>
      </c>
      <c r="I42" s="91" t="str">
        <f t="shared" si="14"/>
        <v>TAK</v>
      </c>
      <c r="J42" s="91" t="str">
        <f t="shared" si="14"/>
        <v>TAK</v>
      </c>
      <c r="K42" s="90" t="str">
        <f t="shared" si="14"/>
        <v>TAK</v>
      </c>
      <c r="L42" s="91" t="str">
        <f t="shared" si="14"/>
        <v>TAK</v>
      </c>
      <c r="M42" s="91" t="str">
        <f t="shared" si="14"/>
        <v>TAK</v>
      </c>
      <c r="N42" s="91" t="str">
        <f t="shared" si="14"/>
        <v>TAK</v>
      </c>
      <c r="O42" s="91" t="str">
        <f t="shared" si="14"/>
        <v>TAK</v>
      </c>
      <c r="P42" s="91" t="str">
        <f t="shared" si="14"/>
        <v>TAK</v>
      </c>
      <c r="Q42" s="91" t="str">
        <f t="shared" si="14"/>
        <v>TAK</v>
      </c>
    </row>
    <row r="43" spans="1:17" ht="31.5" customHeight="1">
      <c r="A43" s="92">
        <v>17</v>
      </c>
      <c r="B43" s="93" t="s">
        <v>112</v>
      </c>
      <c r="C43" s="91"/>
      <c r="D43" s="91"/>
      <c r="E43" s="91"/>
      <c r="F43" s="91">
        <v>9770000</v>
      </c>
      <c r="G43" s="234">
        <v>8400000</v>
      </c>
      <c r="H43" s="94"/>
      <c r="I43" s="94"/>
      <c r="J43" s="94"/>
      <c r="K43" s="86"/>
      <c r="L43" s="94"/>
      <c r="M43" s="94"/>
      <c r="N43" s="94"/>
      <c r="O43" s="94"/>
      <c r="P43" s="94"/>
      <c r="Q43" s="94"/>
    </row>
    <row r="44" spans="1:17" ht="51">
      <c r="A44" s="55">
        <v>18</v>
      </c>
      <c r="B44" s="56" t="s">
        <v>138</v>
      </c>
      <c r="C44" s="95">
        <f>+C21/C6</f>
        <v>0.03214038806513095</v>
      </c>
      <c r="D44" s="95">
        <f>+D21/D6</f>
        <v>0.027923386373280554</v>
      </c>
      <c r="E44" s="95">
        <f>+E21/E6</f>
        <v>0.034690108197350564</v>
      </c>
      <c r="F44" s="95">
        <f>+F21/F6</f>
        <v>0.14069843735164145</v>
      </c>
      <c r="G44" s="95">
        <f aca="true" t="shared" si="15" ref="G44:Q44">+(G21+G13-G34)/G6</f>
        <v>0.10006333600722854</v>
      </c>
      <c r="H44" s="95">
        <f t="shared" si="15"/>
        <v>0.057889968685740104</v>
      </c>
      <c r="I44" s="95">
        <f t="shared" si="15"/>
        <v>0.03763770662161615</v>
      </c>
      <c r="J44" s="95">
        <f t="shared" si="15"/>
        <v>0.04168755178015384</v>
      </c>
      <c r="K44" s="96">
        <f t="shared" si="15"/>
        <v>0.039273817459293606</v>
      </c>
      <c r="L44" s="95">
        <f t="shared" si="15"/>
        <v>0.03655410313406599</v>
      </c>
      <c r="M44" s="95">
        <f t="shared" si="15"/>
        <v>0.03230996091995526</v>
      </c>
      <c r="N44" s="95">
        <f t="shared" si="15"/>
        <v>0.0280120904256315</v>
      </c>
      <c r="O44" s="95">
        <f t="shared" si="15"/>
        <v>0.019750367591625066</v>
      </c>
      <c r="P44" s="95">
        <f t="shared" si="15"/>
        <v>0.01831899664912015</v>
      </c>
      <c r="Q44" s="95">
        <f t="shared" si="15"/>
        <v>0.015524172609009648</v>
      </c>
    </row>
    <row r="45" spans="1:17" ht="25.5" hidden="1">
      <c r="A45" s="55"/>
      <c r="B45" s="56" t="s">
        <v>113</v>
      </c>
      <c r="C45" s="97" t="str">
        <f aca="true" t="shared" si="16" ref="C45:Q45">IF(C37&lt;15%,"TAK","NIE")</f>
        <v>TAK</v>
      </c>
      <c r="D45" s="97" t="str">
        <f t="shared" si="16"/>
        <v>TAK</v>
      </c>
      <c r="E45" s="97" t="str">
        <f t="shared" si="16"/>
        <v>TAK</v>
      </c>
      <c r="F45" s="97" t="str">
        <f t="shared" si="16"/>
        <v>TAK</v>
      </c>
      <c r="G45" s="97" t="str">
        <f t="shared" si="16"/>
        <v>TAK</v>
      </c>
      <c r="H45" s="97" t="str">
        <f t="shared" si="16"/>
        <v>TAK</v>
      </c>
      <c r="I45" s="97" t="str">
        <f t="shared" si="16"/>
        <v>TAK</v>
      </c>
      <c r="J45" s="97" t="str">
        <f t="shared" si="16"/>
        <v>TAK</v>
      </c>
      <c r="K45" s="86" t="str">
        <f t="shared" si="16"/>
        <v>TAK</v>
      </c>
      <c r="L45" s="97" t="str">
        <f t="shared" si="16"/>
        <v>TAK</v>
      </c>
      <c r="M45" s="97" t="str">
        <f t="shared" si="16"/>
        <v>TAK</v>
      </c>
      <c r="N45" s="97" t="str">
        <f t="shared" si="16"/>
        <v>TAK</v>
      </c>
      <c r="O45" s="97" t="str">
        <f t="shared" si="16"/>
        <v>TAK</v>
      </c>
      <c r="P45" s="97" t="str">
        <f t="shared" si="16"/>
        <v>TAK</v>
      </c>
      <c r="Q45" s="97" t="str">
        <f t="shared" si="16"/>
        <v>TAK</v>
      </c>
    </row>
    <row r="46" spans="1:17" ht="51">
      <c r="A46" s="55" t="s">
        <v>140</v>
      </c>
      <c r="B46" s="56" t="s">
        <v>139</v>
      </c>
      <c r="C46" s="97"/>
      <c r="D46" s="97"/>
      <c r="E46" s="97"/>
      <c r="F46" s="97"/>
      <c r="G46" s="235">
        <f>+(G21+G13-G43)/G6</f>
        <v>0.04900502827685062</v>
      </c>
      <c r="H46" s="235">
        <f aca="true" t="shared" si="17" ref="H46:P46">+(H21+H13-H43)/H6</f>
        <v>0.057889968685740104</v>
      </c>
      <c r="I46" s="235">
        <f t="shared" si="17"/>
        <v>0.03763770662161615</v>
      </c>
      <c r="J46" s="235">
        <f t="shared" si="17"/>
        <v>0.04168755178015384</v>
      </c>
      <c r="K46" s="235">
        <f t="shared" si="17"/>
        <v>0.039273817459293606</v>
      </c>
      <c r="L46" s="235">
        <f t="shared" si="17"/>
        <v>0.03655410313406599</v>
      </c>
      <c r="M46" s="235">
        <f t="shared" si="17"/>
        <v>0.03230996091995526</v>
      </c>
      <c r="N46" s="235">
        <f t="shared" si="17"/>
        <v>0.0280120904256315</v>
      </c>
      <c r="O46" s="235">
        <f t="shared" si="17"/>
        <v>0.019750367591625066</v>
      </c>
      <c r="P46" s="235">
        <f t="shared" si="17"/>
        <v>0.01831899664912015</v>
      </c>
      <c r="Q46" s="235">
        <f>+(Q21+Q13-Q43)/Q6</f>
        <v>0.015524172609009648</v>
      </c>
    </row>
    <row r="47" spans="1:17" ht="25.5">
      <c r="A47" s="55">
        <v>19</v>
      </c>
      <c r="B47" s="56" t="s">
        <v>114</v>
      </c>
      <c r="C47" s="95">
        <f aca="true" t="shared" si="18" ref="C47:Q47">+(C33-C34)/C6</f>
        <v>0.10407758334799798</v>
      </c>
      <c r="D47" s="95">
        <f t="shared" si="18"/>
        <v>0.1256391971247334</v>
      </c>
      <c r="E47" s="95">
        <f t="shared" si="18"/>
        <v>0.3037556175006564</v>
      </c>
      <c r="F47" s="95">
        <f t="shared" si="18"/>
        <v>0.20148195495675716</v>
      </c>
      <c r="G47" s="95">
        <f t="shared" si="18"/>
        <v>0.23918517724323202</v>
      </c>
      <c r="H47" s="95">
        <f t="shared" si="18"/>
        <v>0.22813946209150948</v>
      </c>
      <c r="I47" s="95">
        <f t="shared" si="18"/>
        <v>0.19947035829475712</v>
      </c>
      <c r="J47" s="95">
        <f t="shared" si="18"/>
        <v>0.16852328570029945</v>
      </c>
      <c r="K47" s="96">
        <f t="shared" si="18"/>
        <v>0.1351633344331258</v>
      </c>
      <c r="L47" s="95">
        <f t="shared" si="18"/>
        <v>0.10417031942724002</v>
      </c>
      <c r="M47" s="95">
        <f t="shared" si="18"/>
        <v>0.07692413666559782</v>
      </c>
      <c r="N47" s="95">
        <f t="shared" si="18"/>
        <v>0.05196046914562246</v>
      </c>
      <c r="O47" s="95">
        <f t="shared" si="18"/>
        <v>0.03299216817998662</v>
      </c>
      <c r="P47" s="95">
        <f t="shared" si="18"/>
        <v>0.015268302339486079</v>
      </c>
      <c r="Q47" s="95">
        <f t="shared" si="18"/>
        <v>0</v>
      </c>
    </row>
    <row r="48" spans="1:17" ht="12.75">
      <c r="A48" s="55">
        <v>20</v>
      </c>
      <c r="B48" s="56" t="s">
        <v>115</v>
      </c>
      <c r="C48" s="79">
        <f aca="true" t="shared" si="19" ref="C48:Q48">C10+C23</f>
        <v>105041901</v>
      </c>
      <c r="D48" s="79">
        <f t="shared" si="19"/>
        <v>116007067</v>
      </c>
      <c r="E48" s="79">
        <f t="shared" si="19"/>
        <v>127608051</v>
      </c>
      <c r="F48" s="79">
        <f t="shared" si="19"/>
        <v>132417840</v>
      </c>
      <c r="G48" s="57">
        <f t="shared" si="19"/>
        <v>134820812</v>
      </c>
      <c r="H48" s="57">
        <f t="shared" si="19"/>
        <v>133728065.85</v>
      </c>
      <c r="I48" s="57">
        <f t="shared" si="19"/>
        <v>136636176.39624998</v>
      </c>
      <c r="J48" s="57">
        <f t="shared" si="19"/>
        <v>139845776.30615622</v>
      </c>
      <c r="K48" s="59">
        <f t="shared" si="19"/>
        <v>143083637.4138101</v>
      </c>
      <c r="L48" s="57">
        <f t="shared" si="19"/>
        <v>146408782.99915534</v>
      </c>
      <c r="M48" s="57">
        <f t="shared" si="19"/>
        <v>149683355.39113507</v>
      </c>
      <c r="N48" s="57">
        <f t="shared" si="19"/>
        <v>153041848.0245223</v>
      </c>
      <c r="O48" s="57">
        <f t="shared" si="19"/>
        <v>156526888.54511085</v>
      </c>
      <c r="P48" s="57">
        <f t="shared" si="19"/>
        <v>160136168.83019352</v>
      </c>
      <c r="Q48" s="57">
        <f t="shared" si="19"/>
        <v>163810845.14611816</v>
      </c>
    </row>
    <row r="49" spans="1:17" ht="12.75">
      <c r="A49" s="55">
        <v>21</v>
      </c>
      <c r="B49" s="56" t="s">
        <v>116</v>
      </c>
      <c r="C49" s="79">
        <f>C26+C48</f>
        <v>121883402</v>
      </c>
      <c r="D49" s="79">
        <f>D26+D48</f>
        <v>144302218</v>
      </c>
      <c r="E49" s="79">
        <f>E26+E48</f>
        <v>172687518</v>
      </c>
      <c r="F49" s="79">
        <f>F26+F48</f>
        <v>174751031</v>
      </c>
      <c r="G49" s="57">
        <f>G26+G48</f>
        <v>171504147</v>
      </c>
      <c r="H49" s="57">
        <f>H26+H48</f>
        <v>141139368.85</v>
      </c>
      <c r="I49" s="57">
        <f>I26+I48</f>
        <v>147679887.39624998</v>
      </c>
      <c r="J49" s="57">
        <f>J26+J48</f>
        <v>148598043.30615622</v>
      </c>
      <c r="K49" s="59">
        <f>K26+K48</f>
        <v>154277703.4138101</v>
      </c>
      <c r="L49" s="57">
        <f>L26+L48</f>
        <v>159829242.99915534</v>
      </c>
      <c r="M49" s="57">
        <f>M26+M48</f>
        <v>165705024.39113507</v>
      </c>
      <c r="N49" s="57">
        <f>N26+N48</f>
        <v>171403804.0245223</v>
      </c>
      <c r="O49" s="57">
        <f>O26+O48</f>
        <v>177820521.54511085</v>
      </c>
      <c r="P49" s="57">
        <f>P26+P48</f>
        <v>183449613.83019352</v>
      </c>
      <c r="Q49" s="57">
        <f>Q26+Q48</f>
        <v>189319811.14611816</v>
      </c>
    </row>
    <row r="50" spans="1:17" ht="25.5">
      <c r="A50" s="55">
        <v>22</v>
      </c>
      <c r="B50" s="56" t="s">
        <v>117</v>
      </c>
      <c r="C50" s="79">
        <f>C6-C49</f>
        <v>8043654</v>
      </c>
      <c r="D50" s="79">
        <f>D6-D49</f>
        <v>-6223335</v>
      </c>
      <c r="E50" s="79">
        <f>E6-E49</f>
        <v>-26451220</v>
      </c>
      <c r="F50" s="79">
        <f>F6-F49</f>
        <v>4744438</v>
      </c>
      <c r="G50" s="57">
        <f>G6-G49</f>
        <v>-6986356</v>
      </c>
      <c r="H50" s="57">
        <f>H6-H49</f>
        <v>5822431.150000006</v>
      </c>
      <c r="I50" s="57">
        <f>I6-I49</f>
        <v>3393185.6037500203</v>
      </c>
      <c r="J50" s="98">
        <f>J6-J49</f>
        <v>4357952.613843799</v>
      </c>
      <c r="K50" s="59">
        <f>K6-K49+1</f>
        <v>4337665.355229914</v>
      </c>
      <c r="L50" s="59">
        <f>L6-L49</f>
        <v>4337662.641801059</v>
      </c>
      <c r="M50" s="57">
        <f>M6-M49</f>
        <v>4043556.041613847</v>
      </c>
      <c r="N50" s="57">
        <f>N6-N49</f>
        <v>3946479.5625073016</v>
      </c>
      <c r="O50" s="57">
        <f>O6-O49</f>
        <v>3140971.116703719</v>
      </c>
      <c r="P50" s="57">
        <f>P6-P49</f>
        <v>3121685.1041373014</v>
      </c>
      <c r="Q50" s="57">
        <f>Q6-Q49</f>
        <v>2848626.7562425733</v>
      </c>
    </row>
    <row r="51" spans="1:17" ht="12.75">
      <c r="A51" s="55">
        <v>23</v>
      </c>
      <c r="B51" s="56" t="s">
        <v>118</v>
      </c>
      <c r="C51" s="79">
        <f aca="true" t="shared" si="20" ref="C51:Q51">C17+C19+C28</f>
        <v>0</v>
      </c>
      <c r="D51" s="79">
        <f t="shared" si="20"/>
        <v>13317220</v>
      </c>
      <c r="E51" s="79">
        <f t="shared" si="20"/>
        <v>34915236</v>
      </c>
      <c r="F51" s="79">
        <f t="shared" si="20"/>
        <v>18781780</v>
      </c>
      <c r="G51" s="57">
        <f t="shared" si="20"/>
        <v>20696871</v>
      </c>
      <c r="H51" s="57">
        <f t="shared" si="20"/>
        <v>0</v>
      </c>
      <c r="I51" s="57">
        <f t="shared" si="20"/>
        <v>0.15000000596046448</v>
      </c>
      <c r="J51" s="98">
        <f t="shared" si="20"/>
        <v>-0.2462499737739563</v>
      </c>
      <c r="K51" s="59">
        <f t="shared" si="20"/>
        <v>0.36759382486343384</v>
      </c>
      <c r="L51" s="59">
        <f t="shared" si="20"/>
        <v>-0.27717626094818115</v>
      </c>
      <c r="M51" s="57">
        <f t="shared" si="20"/>
        <v>0.3646247982978821</v>
      </c>
      <c r="N51" s="57">
        <f t="shared" si="20"/>
        <v>0.4062386453151703</v>
      </c>
      <c r="O51" s="57">
        <f t="shared" si="20"/>
        <v>-0.03125405311584473</v>
      </c>
      <c r="P51" s="57">
        <f t="shared" si="20"/>
        <v>-0.03125405311584473</v>
      </c>
      <c r="Q51" s="57">
        <f t="shared" si="20"/>
        <v>0.08544966578483582</v>
      </c>
    </row>
    <row r="52" spans="1:17" ht="12.75">
      <c r="A52" s="55">
        <v>24</v>
      </c>
      <c r="B52" s="56" t="s">
        <v>119</v>
      </c>
      <c r="C52" s="79">
        <f aca="true" t="shared" si="21" ref="C52:Q52">C22+C24</f>
        <v>3890709</v>
      </c>
      <c r="D52" s="79">
        <f t="shared" si="21"/>
        <v>5338649</v>
      </c>
      <c r="E52" s="79">
        <f t="shared" si="21"/>
        <v>7780159</v>
      </c>
      <c r="F52" s="79">
        <f t="shared" si="21"/>
        <v>23526218</v>
      </c>
      <c r="G52" s="57">
        <f t="shared" si="21"/>
        <v>13710515</v>
      </c>
      <c r="H52" s="57">
        <f t="shared" si="21"/>
        <v>5822431</v>
      </c>
      <c r="I52" s="57">
        <f t="shared" si="21"/>
        <v>3393186</v>
      </c>
      <c r="J52" s="98">
        <f t="shared" si="21"/>
        <v>4357953</v>
      </c>
      <c r="K52" s="59">
        <f t="shared" si="21"/>
        <v>4337665</v>
      </c>
      <c r="L52" s="59">
        <f t="shared" si="21"/>
        <v>4337663</v>
      </c>
      <c r="M52" s="57">
        <f t="shared" si="21"/>
        <v>4043556</v>
      </c>
      <c r="N52" s="57">
        <f t="shared" si="21"/>
        <v>3946480</v>
      </c>
      <c r="O52" s="57">
        <f t="shared" si="21"/>
        <v>3140971</v>
      </c>
      <c r="P52" s="57">
        <f t="shared" si="21"/>
        <v>3121685</v>
      </c>
      <c r="Q52" s="57">
        <f t="shared" si="21"/>
        <v>2848627</v>
      </c>
    </row>
    <row r="53" spans="1:17" ht="12.75" hidden="1">
      <c r="A53" s="99">
        <v>24</v>
      </c>
      <c r="B53" s="100" t="s">
        <v>120</v>
      </c>
      <c r="C53" s="101">
        <f>+C7-C48</f>
        <v>19161814</v>
      </c>
      <c r="D53" s="101">
        <f>+D7-D48</f>
        <v>6695808</v>
      </c>
      <c r="E53" s="101">
        <f>+E7-E48</f>
        <v>-714004</v>
      </c>
      <c r="F53" s="101">
        <f>+F7-F48</f>
        <v>-751825</v>
      </c>
      <c r="G53" s="102">
        <f>+G7-G48</f>
        <v>2021011</v>
      </c>
      <c r="H53" s="102">
        <f>+H7-H48</f>
        <v>7824459.150000006</v>
      </c>
      <c r="I53" s="102">
        <f>+I7-I48</f>
        <v>10436896.60375002</v>
      </c>
      <c r="J53" s="103">
        <f>+J7-J48</f>
        <v>13110219.613843799</v>
      </c>
      <c r="K53" s="104">
        <f>+K7-K48</f>
        <v>15531730.355229914</v>
      </c>
      <c r="L53" s="104">
        <f>+L7-L48</f>
        <v>17758122.64180106</v>
      </c>
      <c r="M53" s="102">
        <f>+M7-M48</f>
        <v>20065225.041613847</v>
      </c>
      <c r="N53" s="102">
        <f>+N7-N48</f>
        <v>22308435.5625073</v>
      </c>
      <c r="O53" s="102">
        <f>+O7-O48</f>
        <v>24434604.11670372</v>
      </c>
      <c r="P53" s="102">
        <f>+P7-P48</f>
        <v>26435130.1041373</v>
      </c>
      <c r="Q53" s="102">
        <f>+Q7-Q48</f>
        <v>28357592.756242573</v>
      </c>
    </row>
    <row r="54" spans="1:17" ht="12.75" hidden="1">
      <c r="A54" s="99">
        <v>25</v>
      </c>
      <c r="B54" s="100" t="s">
        <v>121</v>
      </c>
      <c r="C54" s="101">
        <f>+C7+C17-C48</f>
        <v>19161814</v>
      </c>
      <c r="D54" s="101">
        <f>+D7+D17-D48</f>
        <v>10848753</v>
      </c>
      <c r="E54" s="101">
        <f>+E7+E17-E48</f>
        <v>1041232</v>
      </c>
      <c r="F54" s="101">
        <f>+F7+F17-F48</f>
        <v>-67968</v>
      </c>
      <c r="G54" s="102">
        <f>+G7+G17-G48</f>
        <v>3822248</v>
      </c>
      <c r="H54" s="102">
        <f>+H7+H17-H48</f>
        <v>7824459.150000006</v>
      </c>
      <c r="I54" s="102">
        <f>+I7+I17-I48</f>
        <v>10436896.753750026</v>
      </c>
      <c r="J54" s="103">
        <f>+J7+J17-J48</f>
        <v>13110219.367593825</v>
      </c>
      <c r="K54" s="104">
        <f>+K7+K17-K48</f>
        <v>15531730.722823739</v>
      </c>
      <c r="L54" s="104">
        <f>+L7+L17-L48</f>
        <v>17758122.3646248</v>
      </c>
      <c r="M54" s="102">
        <f>+M7+M17-M48</f>
        <v>20065225.406238645</v>
      </c>
      <c r="N54" s="102">
        <f>+N7+N17-N48</f>
        <v>22308435.968745947</v>
      </c>
      <c r="O54" s="102">
        <f>+O7+O17-O48</f>
        <v>24434604.085449666</v>
      </c>
      <c r="P54" s="102">
        <f>+P7+P17-P48</f>
        <v>26435130.07288325</v>
      </c>
      <c r="Q54" s="102">
        <f>+Q7+Q17-Q48</f>
        <v>28357592.84169224</v>
      </c>
    </row>
    <row r="55" spans="1:17" ht="12.75" hidden="1">
      <c r="A55" s="99">
        <v>24</v>
      </c>
      <c r="B55" s="100" t="s">
        <v>122</v>
      </c>
      <c r="C55" s="101">
        <f>+C7-C48</f>
        <v>19161814</v>
      </c>
      <c r="D55" s="101">
        <f>+D7-D48</f>
        <v>6695808</v>
      </c>
      <c r="E55" s="101">
        <f>+E7-E48</f>
        <v>-714004</v>
      </c>
      <c r="F55" s="101">
        <f>+F7-F48</f>
        <v>-751825</v>
      </c>
      <c r="G55" s="102">
        <f>+G7-G48</f>
        <v>2021011</v>
      </c>
      <c r="H55" s="102">
        <f>+H7-H48</f>
        <v>7824459.150000006</v>
      </c>
      <c r="I55" s="102">
        <f>+I7-I48</f>
        <v>10436896.60375002</v>
      </c>
      <c r="J55" s="103">
        <f>+J7-J48</f>
        <v>13110219.613843799</v>
      </c>
      <c r="K55" s="104">
        <f>+K7-K48</f>
        <v>15531730.355229914</v>
      </c>
      <c r="L55" s="104">
        <f>+L7-L48</f>
        <v>17758122.64180106</v>
      </c>
      <c r="M55" s="102">
        <f>+M7-M48</f>
        <v>20065225.041613847</v>
      </c>
      <c r="N55" s="102">
        <f>+N7-N48</f>
        <v>22308435.5625073</v>
      </c>
      <c r="O55" s="102">
        <f>+O7-O48</f>
        <v>24434604.11670372</v>
      </c>
      <c r="P55" s="102">
        <f>+P7-P48</f>
        <v>26435130.1041373</v>
      </c>
      <c r="Q55" s="102">
        <f>+Q7-Q48</f>
        <v>28357592.756242573</v>
      </c>
    </row>
    <row r="56" spans="1:17" ht="12.75">
      <c r="A56" s="55">
        <v>25</v>
      </c>
      <c r="B56" s="105" t="s">
        <v>123</v>
      </c>
      <c r="C56" s="79"/>
      <c r="D56" s="79"/>
      <c r="E56" s="79"/>
      <c r="F56" s="79"/>
      <c r="G56" s="57"/>
      <c r="H56" s="57"/>
      <c r="I56" s="57"/>
      <c r="J56" s="98"/>
      <c r="K56" s="59"/>
      <c r="L56" s="59"/>
      <c r="M56" s="57"/>
      <c r="N56" s="57"/>
      <c r="O56" s="57"/>
      <c r="P56" s="57"/>
      <c r="Q56" s="57"/>
    </row>
    <row r="57" spans="1:17" ht="12.75">
      <c r="A57" s="106"/>
      <c r="B57" s="105" t="s">
        <v>124</v>
      </c>
      <c r="C57" s="79"/>
      <c r="D57" s="79"/>
      <c r="E57" s="79"/>
      <c r="F57" s="57">
        <f>F50</f>
        <v>4744438</v>
      </c>
      <c r="G57" s="57"/>
      <c r="H57" s="57">
        <f aca="true" t="shared" si="22" ref="H57:Q57">H50</f>
        <v>5822431.150000006</v>
      </c>
      <c r="I57" s="57">
        <f t="shared" si="22"/>
        <v>3393185.6037500203</v>
      </c>
      <c r="J57" s="98">
        <f t="shared" si="22"/>
        <v>4357952.613843799</v>
      </c>
      <c r="K57" s="59">
        <f t="shared" si="22"/>
        <v>4337665.355229914</v>
      </c>
      <c r="L57" s="59">
        <f t="shared" si="22"/>
        <v>4337662.641801059</v>
      </c>
      <c r="M57" s="57">
        <f t="shared" si="22"/>
        <v>4043556.041613847</v>
      </c>
      <c r="N57" s="57">
        <f t="shared" si="22"/>
        <v>3946479.5625073016</v>
      </c>
      <c r="O57" s="57">
        <f t="shared" si="22"/>
        <v>3140971.116703719</v>
      </c>
      <c r="P57" s="57">
        <f t="shared" si="22"/>
        <v>3121685.1041373014</v>
      </c>
      <c r="Q57" s="57">
        <f t="shared" si="22"/>
        <v>2848626.7562425733</v>
      </c>
    </row>
    <row r="58" spans="1:17" ht="12.75">
      <c r="A58" s="107"/>
      <c r="B58" s="105" t="s">
        <v>125</v>
      </c>
      <c r="C58" s="79"/>
      <c r="D58" s="79"/>
      <c r="E58" s="79"/>
      <c r="F58" s="79"/>
      <c r="G58" s="57"/>
      <c r="H58" s="57"/>
      <c r="I58" s="57"/>
      <c r="J58" s="57"/>
      <c r="K58" s="59"/>
      <c r="L58" s="57"/>
      <c r="M58" s="57"/>
      <c r="N58" s="57"/>
      <c r="O58" s="57"/>
      <c r="P58" s="57"/>
      <c r="Q58" s="57"/>
    </row>
    <row r="59" spans="1:17" ht="12.75">
      <c r="A59" s="55">
        <v>26</v>
      </c>
      <c r="B59" s="105" t="s">
        <v>126</v>
      </c>
      <c r="C59" s="79"/>
      <c r="D59" s="79"/>
      <c r="E59" s="79"/>
      <c r="F59" s="79"/>
      <c r="G59" s="57"/>
      <c r="H59" s="57"/>
      <c r="I59" s="57"/>
      <c r="J59" s="57"/>
      <c r="K59" s="59"/>
      <c r="L59" s="57"/>
      <c r="M59" s="57"/>
      <c r="N59" s="57"/>
      <c r="O59" s="57"/>
      <c r="P59" s="57"/>
      <c r="Q59" s="57"/>
    </row>
    <row r="60" spans="1:17" ht="12.75">
      <c r="A60" s="106"/>
      <c r="B60" s="105" t="s">
        <v>127</v>
      </c>
      <c r="C60" s="79"/>
      <c r="D60" s="79"/>
      <c r="E60" s="79"/>
      <c r="F60" s="57">
        <f>F51</f>
        <v>18781780</v>
      </c>
      <c r="G60" s="57">
        <v>13710515</v>
      </c>
      <c r="H60" s="57">
        <f>H57</f>
        <v>5822431.150000006</v>
      </c>
      <c r="I60" s="57">
        <f aca="true" t="shared" si="23" ref="I60:Q60">I52</f>
        <v>3393186</v>
      </c>
      <c r="J60" s="57">
        <f t="shared" si="23"/>
        <v>4357953</v>
      </c>
      <c r="K60" s="59">
        <f t="shared" si="23"/>
        <v>4337665</v>
      </c>
      <c r="L60" s="57">
        <f t="shared" si="23"/>
        <v>4337663</v>
      </c>
      <c r="M60" s="57">
        <f t="shared" si="23"/>
        <v>4043556</v>
      </c>
      <c r="N60" s="57">
        <f t="shared" si="23"/>
        <v>3946480</v>
      </c>
      <c r="O60" s="57">
        <f t="shared" si="23"/>
        <v>3140971</v>
      </c>
      <c r="P60" s="57">
        <f t="shared" si="23"/>
        <v>3121685</v>
      </c>
      <c r="Q60" s="57">
        <f t="shared" si="23"/>
        <v>2848627</v>
      </c>
    </row>
    <row r="61" spans="1:17" ht="12.75">
      <c r="A61" s="108"/>
      <c r="B61" s="105" t="s">
        <v>128</v>
      </c>
      <c r="C61" s="79"/>
      <c r="D61" s="79"/>
      <c r="E61" s="79"/>
      <c r="F61" s="79"/>
      <c r="G61" s="57"/>
      <c r="H61" s="57"/>
      <c r="I61" s="57"/>
      <c r="J61" s="57"/>
      <c r="K61" s="59"/>
      <c r="L61" s="57"/>
      <c r="M61" s="57"/>
      <c r="N61" s="57"/>
      <c r="O61" s="57"/>
      <c r="P61" s="57"/>
      <c r="Q61" s="57"/>
    </row>
    <row r="62" spans="1:17" ht="12.75">
      <c r="A62" s="107"/>
      <c r="B62" s="105" t="s">
        <v>129</v>
      </c>
      <c r="C62" s="79"/>
      <c r="D62" s="79"/>
      <c r="E62" s="79"/>
      <c r="F62" s="79"/>
      <c r="G62" s="57"/>
      <c r="H62" s="57"/>
      <c r="I62" s="57"/>
      <c r="J62" s="57"/>
      <c r="K62" s="59"/>
      <c r="L62" s="57"/>
      <c r="M62" s="57"/>
      <c r="N62" s="57"/>
      <c r="O62" s="57"/>
      <c r="P62" s="57"/>
      <c r="Q62" s="57"/>
    </row>
  </sheetData>
  <sheetProtection/>
  <mergeCells count="4">
    <mergeCell ref="O3:Q3"/>
    <mergeCell ref="A3:N3"/>
    <mergeCell ref="A32:B32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70" r:id="rId1"/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9"/>
  <sheetViews>
    <sheetView zoomScale="70" zoomScaleNormal="70" workbookViewId="0" topLeftCell="A4">
      <selection activeCell="A22" sqref="A22:B28"/>
    </sheetView>
  </sheetViews>
  <sheetFormatPr defaultColWidth="9.140625" defaultRowHeight="12.75"/>
  <cols>
    <col min="1" max="1" width="48.7109375" style="2" customWidth="1"/>
    <col min="2" max="2" width="29.00390625" style="2" customWidth="1"/>
    <col min="3" max="3" width="15.28125" style="2" customWidth="1"/>
    <col min="4" max="5" width="9.140625" style="2" customWidth="1"/>
    <col min="6" max="6" width="23.421875" style="2" customWidth="1"/>
    <col min="7" max="7" width="13.00390625" style="2" hidden="1" customWidth="1"/>
    <col min="8" max="8" width="15.7109375" style="42" customWidth="1"/>
    <col min="9" max="15" width="15.7109375" style="2" customWidth="1"/>
    <col min="16" max="16" width="21.140625" style="2" customWidth="1"/>
    <col min="17" max="16384" width="9.140625" style="2" customWidth="1"/>
  </cols>
  <sheetData>
    <row r="1" spans="1:17" ht="15.7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 t="s">
        <v>1</v>
      </c>
      <c r="O1" s="227"/>
      <c r="P1" s="227"/>
      <c r="Q1" s="1"/>
    </row>
    <row r="2" spans="1:16" s="4" customFormat="1" ht="25.5" customHeight="1">
      <c r="A2" s="228" t="s">
        <v>2</v>
      </c>
      <c r="B2" s="229"/>
      <c r="C2" s="207" t="s">
        <v>3</v>
      </c>
      <c r="D2" s="232" t="s">
        <v>4</v>
      </c>
      <c r="E2" s="232"/>
      <c r="F2" s="207" t="s">
        <v>5</v>
      </c>
      <c r="G2" s="207" t="s">
        <v>6</v>
      </c>
      <c r="H2" s="233" t="s">
        <v>7</v>
      </c>
      <c r="I2" s="207" t="s">
        <v>8</v>
      </c>
      <c r="J2" s="207" t="s">
        <v>9</v>
      </c>
      <c r="K2" s="207" t="s">
        <v>10</v>
      </c>
      <c r="L2" s="219" t="s">
        <v>11</v>
      </c>
      <c r="M2" s="219" t="s">
        <v>12</v>
      </c>
      <c r="N2" s="219" t="s">
        <v>13</v>
      </c>
      <c r="O2" s="219" t="s">
        <v>14</v>
      </c>
      <c r="P2" s="219" t="s">
        <v>15</v>
      </c>
    </row>
    <row r="3" spans="1:16" s="4" customFormat="1" ht="25.5" customHeight="1">
      <c r="A3" s="230"/>
      <c r="B3" s="231"/>
      <c r="C3" s="207"/>
      <c r="D3" s="3" t="s">
        <v>16</v>
      </c>
      <c r="E3" s="3" t="s">
        <v>17</v>
      </c>
      <c r="F3" s="207"/>
      <c r="G3" s="207"/>
      <c r="H3" s="233"/>
      <c r="I3" s="207"/>
      <c r="J3" s="207"/>
      <c r="K3" s="207"/>
      <c r="L3" s="220"/>
      <c r="M3" s="220"/>
      <c r="N3" s="220"/>
      <c r="O3" s="220"/>
      <c r="P3" s="220"/>
    </row>
    <row r="4" spans="1:16" s="5" customFormat="1" ht="20.25" customHeight="1">
      <c r="A4" s="224" t="s">
        <v>18</v>
      </c>
      <c r="B4" s="225"/>
      <c r="F4" s="168">
        <f aca="true" t="shared" si="0" ref="F4:P4">F5+F6</f>
        <v>28859189.67</v>
      </c>
      <c r="G4" s="168">
        <f t="shared" si="0"/>
        <v>8571673</v>
      </c>
      <c r="H4" s="168">
        <f t="shared" si="0"/>
        <v>10975649</v>
      </c>
      <c r="I4" s="168">
        <f t="shared" si="0"/>
        <v>9294456.67</v>
      </c>
      <c r="J4" s="168">
        <f t="shared" si="0"/>
        <v>3019563</v>
      </c>
      <c r="K4" s="168">
        <f t="shared" si="0"/>
        <v>583396</v>
      </c>
      <c r="L4" s="168">
        <f t="shared" si="0"/>
        <v>636112</v>
      </c>
      <c r="M4" s="168">
        <f t="shared" si="0"/>
        <v>628211</v>
      </c>
      <c r="N4" s="168">
        <f t="shared" si="0"/>
        <v>620310</v>
      </c>
      <c r="O4" s="168">
        <f t="shared" si="0"/>
        <v>358955</v>
      </c>
      <c r="P4" s="168">
        <f t="shared" si="0"/>
        <v>16234759</v>
      </c>
    </row>
    <row r="5" spans="1:16" s="8" customFormat="1" ht="18" customHeight="1">
      <c r="A5" s="135" t="s">
        <v>19</v>
      </c>
      <c r="B5" s="7"/>
      <c r="F5" s="169">
        <f aca="true" t="shared" si="1" ref="F5:P5">F8+F31+F42</f>
        <v>16030787.67</v>
      </c>
      <c r="G5" s="169">
        <f t="shared" si="1"/>
        <v>2739244</v>
      </c>
      <c r="H5" s="169">
        <f t="shared" si="1"/>
        <v>6020948</v>
      </c>
      <c r="I5" s="169">
        <f t="shared" si="1"/>
        <v>3187755.67</v>
      </c>
      <c r="J5" s="169">
        <f t="shared" si="1"/>
        <v>1252563</v>
      </c>
      <c r="K5" s="169">
        <f t="shared" si="1"/>
        <v>583396</v>
      </c>
      <c r="L5" s="169">
        <f t="shared" si="1"/>
        <v>636112</v>
      </c>
      <c r="M5" s="169">
        <f t="shared" si="1"/>
        <v>628211</v>
      </c>
      <c r="N5" s="169">
        <f t="shared" si="1"/>
        <v>620310</v>
      </c>
      <c r="O5" s="169">
        <f t="shared" si="1"/>
        <v>358955</v>
      </c>
      <c r="P5" s="169">
        <f t="shared" si="1"/>
        <v>3470357</v>
      </c>
    </row>
    <row r="6" spans="1:16" s="10" customFormat="1" ht="18.75" customHeight="1">
      <c r="A6" s="136" t="s">
        <v>20</v>
      </c>
      <c r="B6" s="9"/>
      <c r="F6" s="170">
        <f aca="true" t="shared" si="2" ref="F6:P6">F9+F40</f>
        <v>12828402</v>
      </c>
      <c r="G6" s="170">
        <f t="shared" si="2"/>
        <v>5832429</v>
      </c>
      <c r="H6" s="170">
        <f t="shared" si="2"/>
        <v>4954701</v>
      </c>
      <c r="I6" s="170">
        <f t="shared" si="2"/>
        <v>6106701</v>
      </c>
      <c r="J6" s="170">
        <f t="shared" si="2"/>
        <v>1767000</v>
      </c>
      <c r="K6" s="170">
        <f t="shared" si="2"/>
        <v>0</v>
      </c>
      <c r="L6" s="170">
        <f t="shared" si="2"/>
        <v>0</v>
      </c>
      <c r="M6" s="170">
        <f t="shared" si="2"/>
        <v>0</v>
      </c>
      <c r="N6" s="170">
        <f t="shared" si="2"/>
        <v>0</v>
      </c>
      <c r="O6" s="170">
        <f t="shared" si="2"/>
        <v>0</v>
      </c>
      <c r="P6" s="170">
        <f t="shared" si="2"/>
        <v>12764402</v>
      </c>
    </row>
    <row r="7" spans="1:16" s="11" customFormat="1" ht="18" customHeight="1">
      <c r="A7" s="208" t="s">
        <v>21</v>
      </c>
      <c r="B7" s="209"/>
      <c r="C7" s="210"/>
      <c r="F7" s="171">
        <f aca="true" t="shared" si="3" ref="F7:P7">F8+F9</f>
        <v>17790741.67</v>
      </c>
      <c r="G7" s="172">
        <f t="shared" si="3"/>
        <v>6075326</v>
      </c>
      <c r="H7" s="171">
        <f t="shared" si="3"/>
        <v>8495950</v>
      </c>
      <c r="I7" s="171">
        <f t="shared" si="3"/>
        <v>7185038.67</v>
      </c>
      <c r="J7" s="171">
        <f t="shared" si="3"/>
        <v>1866856</v>
      </c>
      <c r="K7" s="171">
        <f t="shared" si="3"/>
        <v>0</v>
      </c>
      <c r="L7" s="171">
        <f t="shared" si="3"/>
        <v>0</v>
      </c>
      <c r="M7" s="171">
        <f t="shared" si="3"/>
        <v>0</v>
      </c>
      <c r="N7" s="171">
        <f t="shared" si="3"/>
        <v>0</v>
      </c>
      <c r="O7" s="171">
        <f t="shared" si="3"/>
        <v>0</v>
      </c>
      <c r="P7" s="171">
        <f t="shared" si="3"/>
        <v>16234759</v>
      </c>
    </row>
    <row r="8" spans="1:16" s="13" customFormat="1" ht="18" customHeight="1">
      <c r="A8" s="133" t="s">
        <v>19</v>
      </c>
      <c r="B8" s="12"/>
      <c r="F8" s="146">
        <f aca="true" t="shared" si="4" ref="F8:P8">F11+F20+F23</f>
        <v>4962339.67</v>
      </c>
      <c r="G8" s="146">
        <f t="shared" si="4"/>
        <v>242897</v>
      </c>
      <c r="H8" s="146">
        <f t="shared" si="4"/>
        <v>3541249</v>
      </c>
      <c r="I8" s="146">
        <f t="shared" si="4"/>
        <v>1078337.67</v>
      </c>
      <c r="J8" s="146">
        <f t="shared" si="4"/>
        <v>99856</v>
      </c>
      <c r="K8" s="146">
        <f t="shared" si="4"/>
        <v>0</v>
      </c>
      <c r="L8" s="146">
        <f t="shared" si="4"/>
        <v>0</v>
      </c>
      <c r="M8" s="146">
        <f t="shared" si="4"/>
        <v>0</v>
      </c>
      <c r="N8" s="146">
        <f t="shared" si="4"/>
        <v>0</v>
      </c>
      <c r="O8" s="146">
        <f t="shared" si="4"/>
        <v>0</v>
      </c>
      <c r="P8" s="146">
        <f t="shared" si="4"/>
        <v>3470357</v>
      </c>
    </row>
    <row r="9" spans="1:16" s="15" customFormat="1" ht="17.25" customHeight="1">
      <c r="A9" s="134" t="s">
        <v>20</v>
      </c>
      <c r="B9" s="14"/>
      <c r="F9" s="147">
        <f aca="true" t="shared" si="5" ref="F9:P9">F15+F21+F27</f>
        <v>12828402</v>
      </c>
      <c r="G9" s="147">
        <f t="shared" si="5"/>
        <v>5832429</v>
      </c>
      <c r="H9" s="147">
        <f t="shared" si="5"/>
        <v>4954701</v>
      </c>
      <c r="I9" s="147">
        <f t="shared" si="5"/>
        <v>6106701</v>
      </c>
      <c r="J9" s="147">
        <f t="shared" si="5"/>
        <v>1767000</v>
      </c>
      <c r="K9" s="147">
        <f t="shared" si="5"/>
        <v>0</v>
      </c>
      <c r="L9" s="147">
        <f t="shared" si="5"/>
        <v>0</v>
      </c>
      <c r="M9" s="147">
        <f t="shared" si="5"/>
        <v>0</v>
      </c>
      <c r="N9" s="147">
        <f t="shared" si="5"/>
        <v>0</v>
      </c>
      <c r="O9" s="147">
        <f t="shared" si="5"/>
        <v>0</v>
      </c>
      <c r="P9" s="147">
        <f t="shared" si="5"/>
        <v>12764402</v>
      </c>
    </row>
    <row r="10" spans="1:16" ht="33" customHeight="1">
      <c r="A10" s="197" t="s">
        <v>22</v>
      </c>
      <c r="B10" s="221"/>
      <c r="C10" s="198"/>
      <c r="F10" s="140">
        <f aca="true" t="shared" si="6" ref="F10:P10">F11+F15</f>
        <v>13034356.67</v>
      </c>
      <c r="G10" s="140">
        <f t="shared" si="6"/>
        <v>1385002</v>
      </c>
      <c r="H10" s="140">
        <f t="shared" si="6"/>
        <v>6228634</v>
      </c>
      <c r="I10" s="140">
        <f t="shared" si="6"/>
        <v>5038722.67</v>
      </c>
      <c r="J10" s="140">
        <f t="shared" si="6"/>
        <v>1767000</v>
      </c>
      <c r="K10" s="140">
        <f t="shared" si="6"/>
        <v>0</v>
      </c>
      <c r="L10" s="140">
        <f t="shared" si="6"/>
        <v>0</v>
      </c>
      <c r="M10" s="140">
        <f t="shared" si="6"/>
        <v>0</v>
      </c>
      <c r="N10" s="140">
        <f t="shared" si="6"/>
        <v>0</v>
      </c>
      <c r="O10" s="140">
        <f t="shared" si="6"/>
        <v>0</v>
      </c>
      <c r="P10" s="140">
        <f t="shared" si="6"/>
        <v>12970357</v>
      </c>
    </row>
    <row r="11" spans="1:36" s="17" customFormat="1" ht="18" customHeight="1">
      <c r="A11" s="6" t="s">
        <v>19</v>
      </c>
      <c r="B11" s="16"/>
      <c r="F11" s="143">
        <f>F12+F14</f>
        <v>3470356.67</v>
      </c>
      <c r="G11" s="143">
        <f>G12+G14</f>
        <v>0</v>
      </c>
      <c r="H11" s="143">
        <f>H12+H14</f>
        <v>2906634</v>
      </c>
      <c r="I11" s="143">
        <f>I12+I14</f>
        <v>563722.67</v>
      </c>
      <c r="J11" s="143">
        <f aca="true" t="shared" si="7" ref="J11:O11">SUM(J12)</f>
        <v>0</v>
      </c>
      <c r="K11" s="143">
        <f t="shared" si="7"/>
        <v>0</v>
      </c>
      <c r="L11" s="143">
        <f t="shared" si="7"/>
        <v>0</v>
      </c>
      <c r="M11" s="143">
        <f t="shared" si="7"/>
        <v>0</v>
      </c>
      <c r="N11" s="143">
        <f t="shared" si="7"/>
        <v>0</v>
      </c>
      <c r="O11" s="143">
        <f t="shared" si="7"/>
        <v>0</v>
      </c>
      <c r="P11" s="143">
        <f>SUM(P12:P14)</f>
        <v>3470357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9" customFormat="1" ht="29.25" customHeight="1">
      <c r="A12" s="211" t="s">
        <v>23</v>
      </c>
      <c r="B12" s="212"/>
      <c r="C12" s="116" t="s">
        <v>24</v>
      </c>
      <c r="D12" s="120">
        <v>2012</v>
      </c>
      <c r="E12" s="120">
        <v>2013</v>
      </c>
      <c r="F12" s="137">
        <f>H12+I12</f>
        <v>3360270</v>
      </c>
      <c r="G12" s="138"/>
      <c r="H12" s="139">
        <v>2810130</v>
      </c>
      <c r="I12" s="139">
        <v>550140</v>
      </c>
      <c r="J12" s="113"/>
      <c r="K12" s="113"/>
      <c r="L12" s="113"/>
      <c r="M12" s="113"/>
      <c r="N12" s="113"/>
      <c r="O12" s="113"/>
      <c r="P12" s="139">
        <v>3360270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19" customFormat="1" ht="19.5" customHeight="1">
      <c r="A13" s="217" t="s">
        <v>130</v>
      </c>
      <c r="B13" s="218"/>
      <c r="C13" s="114"/>
      <c r="D13" s="121"/>
      <c r="E13" s="121"/>
      <c r="F13" s="127">
        <v>266181</v>
      </c>
      <c r="G13" s="112"/>
      <c r="H13" s="130">
        <v>122400</v>
      </c>
      <c r="I13" s="130">
        <v>143781</v>
      </c>
      <c r="J13" s="115"/>
      <c r="K13" s="115"/>
      <c r="L13" s="115"/>
      <c r="M13" s="115"/>
      <c r="N13" s="115"/>
      <c r="O13" s="115"/>
      <c r="P13" s="157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19" customFormat="1" ht="29.25" customHeight="1">
      <c r="A14" s="213" t="s">
        <v>131</v>
      </c>
      <c r="B14" s="214"/>
      <c r="C14" s="117" t="s">
        <v>25</v>
      </c>
      <c r="D14" s="122">
        <v>2012</v>
      </c>
      <c r="E14" s="122">
        <v>2013</v>
      </c>
      <c r="F14" s="140">
        <f>H14+I14</f>
        <v>110086.67</v>
      </c>
      <c r="G14" s="141"/>
      <c r="H14" s="142">
        <v>96504</v>
      </c>
      <c r="I14" s="142">
        <v>13582.67</v>
      </c>
      <c r="J14" s="20"/>
      <c r="K14" s="20"/>
      <c r="L14" s="20"/>
      <c r="M14" s="20"/>
      <c r="N14" s="20"/>
      <c r="O14" s="20"/>
      <c r="P14" s="142">
        <v>110087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16" s="22" customFormat="1" ht="19.5" customHeight="1">
      <c r="A15" s="203" t="s">
        <v>20</v>
      </c>
      <c r="B15" s="204"/>
      <c r="C15" s="21"/>
      <c r="F15" s="149">
        <f>F16+F17</f>
        <v>9564000</v>
      </c>
      <c r="G15" s="149">
        <f>G16+G17</f>
        <v>1385002</v>
      </c>
      <c r="H15" s="149">
        <f>H16+H17</f>
        <v>3322000</v>
      </c>
      <c r="I15" s="149">
        <f>I16+I17</f>
        <v>4475000</v>
      </c>
      <c r="J15" s="149">
        <f>J16+J17</f>
        <v>1767000</v>
      </c>
      <c r="K15" s="149">
        <f>SUM(K16:K16)</f>
        <v>0</v>
      </c>
      <c r="L15" s="149">
        <f>SUM(L16:L16)</f>
        <v>0</v>
      </c>
      <c r="M15" s="149">
        <f>SUM(M16:M16)</f>
        <v>0</v>
      </c>
      <c r="N15" s="149">
        <f>SUM(N16:N16)</f>
        <v>0</v>
      </c>
      <c r="O15" s="149">
        <f>SUM(O16:O16)</f>
        <v>0</v>
      </c>
      <c r="P15" s="149">
        <f>SUM(P16:P17)</f>
        <v>9500000</v>
      </c>
    </row>
    <row r="16" spans="1:16" s="24" customFormat="1" ht="29.25" customHeight="1">
      <c r="A16" s="222" t="s">
        <v>26</v>
      </c>
      <c r="B16" s="223"/>
      <c r="C16" s="117" t="s">
        <v>24</v>
      </c>
      <c r="D16" s="123">
        <v>2012</v>
      </c>
      <c r="E16" s="123">
        <v>2013</v>
      </c>
      <c r="F16" s="150">
        <v>6800000</v>
      </c>
      <c r="G16" s="150">
        <v>1385002</v>
      </c>
      <c r="H16" s="151">
        <v>3280000</v>
      </c>
      <c r="I16" s="150">
        <v>3520000</v>
      </c>
      <c r="J16" s="150"/>
      <c r="K16" s="150"/>
      <c r="L16" s="155"/>
      <c r="M16" s="155"/>
      <c r="N16" s="155"/>
      <c r="O16" s="155"/>
      <c r="P16" s="142">
        <v>6800000</v>
      </c>
    </row>
    <row r="17" spans="1:16" s="24" customFormat="1" ht="53.25" customHeight="1">
      <c r="A17" s="215" t="s">
        <v>132</v>
      </c>
      <c r="B17" s="216"/>
      <c r="C17" s="116" t="s">
        <v>24</v>
      </c>
      <c r="D17" s="124">
        <v>2012</v>
      </c>
      <c r="E17" s="124">
        <v>2014</v>
      </c>
      <c r="F17" s="152">
        <v>2764000</v>
      </c>
      <c r="G17" s="153"/>
      <c r="H17" s="154">
        <v>42000</v>
      </c>
      <c r="I17" s="152">
        <v>955000</v>
      </c>
      <c r="J17" s="152">
        <v>1767000</v>
      </c>
      <c r="K17" s="153"/>
      <c r="L17" s="156"/>
      <c r="M17" s="156"/>
      <c r="N17" s="156"/>
      <c r="O17" s="156"/>
      <c r="P17" s="139">
        <v>2700000</v>
      </c>
    </row>
    <row r="18" spans="1:16" s="24" customFormat="1" ht="18" customHeight="1">
      <c r="A18" s="217" t="s">
        <v>130</v>
      </c>
      <c r="B18" s="218"/>
      <c r="C18" s="109"/>
      <c r="D18" s="110"/>
      <c r="E18" s="110"/>
      <c r="F18" s="129">
        <v>452000</v>
      </c>
      <c r="G18" s="111"/>
      <c r="H18" s="131">
        <v>42000</v>
      </c>
      <c r="I18" s="129">
        <v>145000</v>
      </c>
      <c r="J18" s="129">
        <v>265000</v>
      </c>
      <c r="K18" s="111"/>
      <c r="L18" s="110"/>
      <c r="M18" s="110"/>
      <c r="N18" s="110"/>
      <c r="O18" s="110"/>
      <c r="P18" s="112"/>
    </row>
    <row r="19" spans="1:16" ht="30.75" customHeight="1">
      <c r="A19" s="197" t="s">
        <v>27</v>
      </c>
      <c r="B19" s="198"/>
      <c r="C19" s="25"/>
      <c r="D19" s="26"/>
      <c r="E19" s="26"/>
      <c r="F19" s="140">
        <v>0</v>
      </c>
      <c r="G19" s="140">
        <f>+G20+G21</f>
        <v>0</v>
      </c>
      <c r="H19" s="151">
        <f>+H20+H21</f>
        <v>0</v>
      </c>
      <c r="I19" s="140">
        <f>+I20+I21</f>
        <v>0</v>
      </c>
      <c r="J19" s="140">
        <f>+J20+J21</f>
        <v>0</v>
      </c>
      <c r="K19" s="140">
        <f>+K20+K21</f>
        <v>0</v>
      </c>
      <c r="L19" s="158">
        <v>0</v>
      </c>
      <c r="M19" s="158">
        <v>0</v>
      </c>
      <c r="N19" s="158">
        <v>0</v>
      </c>
      <c r="O19" s="158">
        <v>0</v>
      </c>
      <c r="P19" s="159">
        <f>SUM(G19:O19)</f>
        <v>0</v>
      </c>
    </row>
    <row r="20" spans="1:16" s="17" customFormat="1" ht="20.25" customHeight="1">
      <c r="A20" s="199" t="s">
        <v>19</v>
      </c>
      <c r="B20" s="200"/>
      <c r="C20" s="27"/>
      <c r="D20" s="27"/>
      <c r="E20" s="27"/>
      <c r="F20" s="160">
        <v>0</v>
      </c>
      <c r="G20" s="144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1"/>
      <c r="P20" s="160">
        <f>SUM(G20:O20)</f>
        <v>0</v>
      </c>
    </row>
    <row r="21" spans="1:16" s="22" customFormat="1" ht="20.25" customHeight="1">
      <c r="A21" s="203" t="s">
        <v>20</v>
      </c>
      <c r="B21" s="204"/>
      <c r="C21" s="28"/>
      <c r="D21" s="28"/>
      <c r="E21" s="28"/>
      <c r="F21" s="149">
        <v>0</v>
      </c>
      <c r="G21" s="145">
        <v>0</v>
      </c>
      <c r="H21" s="149">
        <v>0</v>
      </c>
      <c r="I21" s="149">
        <v>0</v>
      </c>
      <c r="J21" s="149">
        <v>0</v>
      </c>
      <c r="K21" s="149">
        <v>0</v>
      </c>
      <c r="L21" s="162">
        <v>0</v>
      </c>
      <c r="M21" s="162">
        <v>0</v>
      </c>
      <c r="N21" s="162">
        <v>0</v>
      </c>
      <c r="O21" s="162">
        <v>0</v>
      </c>
      <c r="P21" s="149">
        <f>SUM(G21:O21)</f>
        <v>0</v>
      </c>
    </row>
    <row r="22" spans="1:16" ht="28.5" customHeight="1">
      <c r="A22" s="197" t="s">
        <v>28</v>
      </c>
      <c r="B22" s="198"/>
      <c r="C22" s="29"/>
      <c r="D22" s="26"/>
      <c r="E22" s="26"/>
      <c r="F22" s="140">
        <f aca="true" t="shared" si="8" ref="F22:P22">F23+F27</f>
        <v>4756385</v>
      </c>
      <c r="G22" s="140">
        <f t="shared" si="8"/>
        <v>4690324</v>
      </c>
      <c r="H22" s="140">
        <f t="shared" si="8"/>
        <v>2267316</v>
      </c>
      <c r="I22" s="140">
        <f t="shared" si="8"/>
        <v>2146316</v>
      </c>
      <c r="J22" s="140">
        <f t="shared" si="8"/>
        <v>99856</v>
      </c>
      <c r="K22" s="140">
        <f t="shared" si="8"/>
        <v>0</v>
      </c>
      <c r="L22" s="140">
        <f t="shared" si="8"/>
        <v>0</v>
      </c>
      <c r="M22" s="140">
        <f t="shared" si="8"/>
        <v>0</v>
      </c>
      <c r="N22" s="140">
        <f t="shared" si="8"/>
        <v>0</v>
      </c>
      <c r="O22" s="140">
        <f t="shared" si="8"/>
        <v>0</v>
      </c>
      <c r="P22" s="140">
        <f t="shared" si="8"/>
        <v>3264402</v>
      </c>
    </row>
    <row r="23" spans="1:16" s="17" customFormat="1" ht="21.75" customHeight="1">
      <c r="A23" s="199" t="s">
        <v>19</v>
      </c>
      <c r="B23" s="200"/>
      <c r="C23" s="27"/>
      <c r="D23" s="27"/>
      <c r="E23" s="27"/>
      <c r="F23" s="160">
        <f>F24+F25+F26</f>
        <v>1491983</v>
      </c>
      <c r="G23" s="160">
        <f>G24+G25+G26</f>
        <v>242897</v>
      </c>
      <c r="H23" s="160">
        <f>H24+H25+H26</f>
        <v>634615</v>
      </c>
      <c r="I23" s="160">
        <f>I24+I25+I26</f>
        <v>514615</v>
      </c>
      <c r="J23" s="160">
        <f aca="true" t="shared" si="9" ref="J23:P23">J24+J25</f>
        <v>99856</v>
      </c>
      <c r="K23" s="160">
        <f t="shared" si="9"/>
        <v>0</v>
      </c>
      <c r="L23" s="160">
        <f t="shared" si="9"/>
        <v>0</v>
      </c>
      <c r="M23" s="160">
        <f t="shared" si="9"/>
        <v>0</v>
      </c>
      <c r="N23" s="160">
        <f t="shared" si="9"/>
        <v>0</v>
      </c>
      <c r="O23" s="160">
        <f t="shared" si="9"/>
        <v>0</v>
      </c>
      <c r="P23" s="160">
        <f t="shared" si="9"/>
        <v>0</v>
      </c>
    </row>
    <row r="24" spans="1:16" s="24" customFormat="1" ht="36.75" customHeight="1">
      <c r="A24" s="188" t="s">
        <v>29</v>
      </c>
      <c r="B24" s="189"/>
      <c r="C24" s="117" t="s">
        <v>24</v>
      </c>
      <c r="D24" s="123">
        <v>2011</v>
      </c>
      <c r="E24" s="123">
        <v>2013</v>
      </c>
      <c r="F24" s="150">
        <f>G24+H24+I24</f>
        <v>370968</v>
      </c>
      <c r="G24" s="150">
        <v>123656</v>
      </c>
      <c r="H24" s="151">
        <v>123656</v>
      </c>
      <c r="I24" s="150">
        <v>123656</v>
      </c>
      <c r="J24" s="150"/>
      <c r="K24" s="128"/>
      <c r="L24" s="123"/>
      <c r="M24" s="123"/>
      <c r="N24" s="123"/>
      <c r="O24" s="123"/>
      <c r="P24" s="142">
        <v>0</v>
      </c>
    </row>
    <row r="25" spans="1:16" s="24" customFormat="1" ht="36.75" customHeight="1">
      <c r="A25" s="188" t="s">
        <v>30</v>
      </c>
      <c r="B25" s="189"/>
      <c r="C25" s="117" t="s">
        <v>24</v>
      </c>
      <c r="D25" s="123">
        <v>2011</v>
      </c>
      <c r="E25" s="123">
        <v>2014</v>
      </c>
      <c r="F25" s="150">
        <f>G25+H25+I25+J25</f>
        <v>521015</v>
      </c>
      <c r="G25" s="150">
        <v>119241</v>
      </c>
      <c r="H25" s="151">
        <v>150959</v>
      </c>
      <c r="I25" s="150">
        <v>150959</v>
      </c>
      <c r="J25" s="150">
        <v>99856</v>
      </c>
      <c r="K25" s="128"/>
      <c r="L25" s="123"/>
      <c r="M25" s="123"/>
      <c r="N25" s="123"/>
      <c r="O25" s="123"/>
      <c r="P25" s="142">
        <v>0</v>
      </c>
    </row>
    <row r="26" spans="1:16" s="24" customFormat="1" ht="36.75" customHeight="1">
      <c r="A26" s="184" t="s">
        <v>134</v>
      </c>
      <c r="B26" s="185"/>
      <c r="C26" s="117" t="s">
        <v>24</v>
      </c>
      <c r="D26" s="123">
        <v>2012</v>
      </c>
      <c r="E26" s="123">
        <v>2013</v>
      </c>
      <c r="F26" s="150">
        <v>600000</v>
      </c>
      <c r="G26" s="150"/>
      <c r="H26" s="151">
        <v>360000</v>
      </c>
      <c r="I26" s="150">
        <v>240000</v>
      </c>
      <c r="J26" s="150"/>
      <c r="K26" s="128"/>
      <c r="L26" s="123"/>
      <c r="M26" s="123"/>
      <c r="N26" s="123"/>
      <c r="O26" s="123"/>
      <c r="P26" s="142">
        <v>600000</v>
      </c>
    </row>
    <row r="27" spans="1:17" s="22" customFormat="1" ht="21" customHeight="1">
      <c r="A27" s="203" t="s">
        <v>20</v>
      </c>
      <c r="B27" s="204"/>
      <c r="C27" s="28"/>
      <c r="D27" s="28"/>
      <c r="E27" s="28"/>
      <c r="F27" s="149">
        <f>SUM(F28:F29)</f>
        <v>3264402</v>
      </c>
      <c r="G27" s="149">
        <f aca="true" t="shared" si="10" ref="G27:P27">SUM(G28:G29)</f>
        <v>4447427</v>
      </c>
      <c r="H27" s="149">
        <f t="shared" si="10"/>
        <v>1632701</v>
      </c>
      <c r="I27" s="149">
        <f t="shared" si="10"/>
        <v>1631701</v>
      </c>
      <c r="J27" s="149">
        <f t="shared" si="10"/>
        <v>0</v>
      </c>
      <c r="K27" s="149">
        <f t="shared" si="10"/>
        <v>0</v>
      </c>
      <c r="L27" s="149">
        <f t="shared" si="10"/>
        <v>0</v>
      </c>
      <c r="M27" s="149">
        <f t="shared" si="10"/>
        <v>0</v>
      </c>
      <c r="N27" s="149">
        <f t="shared" si="10"/>
        <v>0</v>
      </c>
      <c r="O27" s="149">
        <f t="shared" si="10"/>
        <v>0</v>
      </c>
      <c r="P27" s="149">
        <f t="shared" si="10"/>
        <v>3264402</v>
      </c>
      <c r="Q27" s="30"/>
    </row>
    <row r="28" spans="1:16" s="31" customFormat="1" ht="35.25" customHeight="1">
      <c r="A28" s="195" t="s">
        <v>31</v>
      </c>
      <c r="B28" s="196"/>
      <c r="C28" s="118" t="s">
        <v>24</v>
      </c>
      <c r="D28" s="122">
        <v>2012</v>
      </c>
      <c r="E28" s="122">
        <v>2013</v>
      </c>
      <c r="F28" s="142">
        <f>H28+I28</f>
        <v>1385402</v>
      </c>
      <c r="G28" s="142">
        <v>4447427</v>
      </c>
      <c r="H28" s="163">
        <v>692701</v>
      </c>
      <c r="I28" s="142">
        <v>692701</v>
      </c>
      <c r="J28" s="142"/>
      <c r="K28" s="142"/>
      <c r="L28" s="142"/>
      <c r="M28" s="142"/>
      <c r="N28" s="142"/>
      <c r="O28" s="148"/>
      <c r="P28" s="142">
        <v>1385402</v>
      </c>
    </row>
    <row r="29" spans="1:16" s="31" customFormat="1" ht="35.25" customHeight="1">
      <c r="A29" s="205" t="s">
        <v>133</v>
      </c>
      <c r="B29" s="206"/>
      <c r="C29" s="118" t="s">
        <v>24</v>
      </c>
      <c r="D29" s="175">
        <v>2012</v>
      </c>
      <c r="E29" s="175">
        <v>2013</v>
      </c>
      <c r="F29" s="142">
        <f>H29+I29</f>
        <v>1879000</v>
      </c>
      <c r="G29" s="164"/>
      <c r="H29" s="176">
        <v>940000</v>
      </c>
      <c r="I29" s="177">
        <v>939000</v>
      </c>
      <c r="J29" s="164"/>
      <c r="K29" s="164"/>
      <c r="L29" s="164"/>
      <c r="M29" s="164"/>
      <c r="N29" s="164"/>
      <c r="O29" s="165"/>
      <c r="P29" s="166">
        <v>1879000</v>
      </c>
    </row>
    <row r="30" spans="1:16" s="32" customFormat="1" ht="50.25" customHeight="1">
      <c r="A30" s="192" t="s">
        <v>32</v>
      </c>
      <c r="B30" s="193"/>
      <c r="C30" s="194"/>
      <c r="F30" s="171">
        <f aca="true" t="shared" si="11" ref="F30:P30">F31+F40</f>
        <v>5890208</v>
      </c>
      <c r="G30" s="172">
        <f t="shared" si="11"/>
        <v>2078588</v>
      </c>
      <c r="H30" s="171">
        <f t="shared" si="11"/>
        <v>1813299</v>
      </c>
      <c r="I30" s="171">
        <f t="shared" si="11"/>
        <v>1450919</v>
      </c>
      <c r="J30" s="171">
        <f t="shared" si="11"/>
        <v>502109</v>
      </c>
      <c r="K30" s="171">
        <f t="shared" si="11"/>
        <v>42000</v>
      </c>
      <c r="L30" s="171">
        <f t="shared" si="11"/>
        <v>0</v>
      </c>
      <c r="M30" s="171">
        <f t="shared" si="11"/>
        <v>0</v>
      </c>
      <c r="N30" s="171">
        <f t="shared" si="11"/>
        <v>0</v>
      </c>
      <c r="O30" s="171">
        <f t="shared" si="11"/>
        <v>0</v>
      </c>
      <c r="P30" s="171">
        <f t="shared" si="11"/>
        <v>0</v>
      </c>
    </row>
    <row r="31" spans="1:16" s="34" customFormat="1" ht="22.5" customHeight="1">
      <c r="A31" s="201" t="s">
        <v>19</v>
      </c>
      <c r="B31" s="202"/>
      <c r="C31" s="33"/>
      <c r="D31" s="33"/>
      <c r="E31" s="33"/>
      <c r="F31" s="146">
        <f aca="true" t="shared" si="12" ref="F31:P31">SUM(F32:F39)</f>
        <v>5890208</v>
      </c>
      <c r="G31" s="167">
        <f t="shared" si="12"/>
        <v>2078588</v>
      </c>
      <c r="H31" s="146">
        <f t="shared" si="12"/>
        <v>1813299</v>
      </c>
      <c r="I31" s="146">
        <f t="shared" si="12"/>
        <v>1450919</v>
      </c>
      <c r="J31" s="146">
        <f t="shared" si="12"/>
        <v>502109</v>
      </c>
      <c r="K31" s="146">
        <f t="shared" si="12"/>
        <v>42000</v>
      </c>
      <c r="L31" s="146">
        <f t="shared" si="12"/>
        <v>0</v>
      </c>
      <c r="M31" s="146">
        <f t="shared" si="12"/>
        <v>0</v>
      </c>
      <c r="N31" s="146">
        <f t="shared" si="12"/>
        <v>0</v>
      </c>
      <c r="O31" s="146">
        <f t="shared" si="12"/>
        <v>0</v>
      </c>
      <c r="P31" s="146">
        <f t="shared" si="12"/>
        <v>0</v>
      </c>
    </row>
    <row r="32" spans="1:16" s="24" customFormat="1" ht="27" customHeight="1">
      <c r="A32" s="188" t="s">
        <v>33</v>
      </c>
      <c r="B32" s="189"/>
      <c r="C32" s="117" t="s">
        <v>24</v>
      </c>
      <c r="D32" s="123">
        <v>2011</v>
      </c>
      <c r="E32" s="123">
        <v>2014</v>
      </c>
      <c r="F32" s="150">
        <f>G32+H32+I32+J32</f>
        <v>1558450</v>
      </c>
      <c r="G32" s="150">
        <v>637450</v>
      </c>
      <c r="H32" s="151">
        <v>307000</v>
      </c>
      <c r="I32" s="150">
        <v>307000</v>
      </c>
      <c r="J32" s="150">
        <v>307000</v>
      </c>
      <c r="K32" s="150"/>
      <c r="L32" s="23"/>
      <c r="M32" s="23"/>
      <c r="N32" s="23"/>
      <c r="O32" s="23"/>
      <c r="P32" s="142">
        <v>0</v>
      </c>
    </row>
    <row r="33" spans="1:16" s="24" customFormat="1" ht="30">
      <c r="A33" s="195" t="s">
        <v>34</v>
      </c>
      <c r="B33" s="196"/>
      <c r="C33" s="117" t="s">
        <v>24</v>
      </c>
      <c r="D33" s="123">
        <v>2011</v>
      </c>
      <c r="E33" s="123">
        <v>2015</v>
      </c>
      <c r="F33" s="150">
        <v>672000</v>
      </c>
      <c r="G33" s="150">
        <v>126000</v>
      </c>
      <c r="H33" s="151">
        <v>168000</v>
      </c>
      <c r="I33" s="150">
        <v>168000</v>
      </c>
      <c r="J33" s="150">
        <v>168000</v>
      </c>
      <c r="K33" s="150">
        <v>42000</v>
      </c>
      <c r="L33" s="23"/>
      <c r="M33" s="23"/>
      <c r="N33" s="23"/>
      <c r="O33" s="23"/>
      <c r="P33" s="142">
        <v>0</v>
      </c>
    </row>
    <row r="34" spans="1:16" s="24" customFormat="1" ht="36.75" customHeight="1">
      <c r="A34" s="188" t="s">
        <v>35</v>
      </c>
      <c r="B34" s="189"/>
      <c r="C34" s="117" t="s">
        <v>24</v>
      </c>
      <c r="D34" s="123">
        <v>2010</v>
      </c>
      <c r="E34" s="123">
        <v>2013</v>
      </c>
      <c r="F34" s="150">
        <f>G34+H34+I34</f>
        <v>3437500</v>
      </c>
      <c r="G34" s="150">
        <v>1250000</v>
      </c>
      <c r="H34" s="151">
        <v>1250000</v>
      </c>
      <c r="I34" s="150">
        <v>937500</v>
      </c>
      <c r="J34" s="150"/>
      <c r="K34" s="150"/>
      <c r="L34" s="23"/>
      <c r="M34" s="23"/>
      <c r="N34" s="23"/>
      <c r="O34" s="23"/>
      <c r="P34" s="142">
        <v>0</v>
      </c>
    </row>
    <row r="35" spans="1:16" s="24" customFormat="1" ht="30">
      <c r="A35" s="184" t="s">
        <v>36</v>
      </c>
      <c r="B35" s="185"/>
      <c r="C35" s="117" t="s">
        <v>24</v>
      </c>
      <c r="D35" s="123">
        <v>2011</v>
      </c>
      <c r="E35" s="123">
        <v>2014</v>
      </c>
      <c r="F35" s="150">
        <v>167680</v>
      </c>
      <c r="G35" s="150">
        <v>61738</v>
      </c>
      <c r="H35" s="151">
        <v>65880</v>
      </c>
      <c r="I35" s="150">
        <v>16000</v>
      </c>
      <c r="J35" s="150">
        <v>19920</v>
      </c>
      <c r="K35" s="150"/>
      <c r="L35" s="23"/>
      <c r="M35" s="23"/>
      <c r="N35" s="23"/>
      <c r="O35" s="23"/>
      <c r="P35" s="142">
        <v>0</v>
      </c>
    </row>
    <row r="36" spans="1:16" s="24" customFormat="1" ht="30">
      <c r="A36" s="184" t="s">
        <v>37</v>
      </c>
      <c r="B36" s="185"/>
      <c r="C36" s="117" t="s">
        <v>24</v>
      </c>
      <c r="D36" s="123">
        <v>2011</v>
      </c>
      <c r="E36" s="123">
        <v>2013</v>
      </c>
      <c r="F36" s="150">
        <f>SUM(G36:I36)</f>
        <v>5000</v>
      </c>
      <c r="G36" s="150">
        <v>1000</v>
      </c>
      <c r="H36" s="151">
        <v>2000</v>
      </c>
      <c r="I36" s="150">
        <v>2000</v>
      </c>
      <c r="J36" s="150"/>
      <c r="K36" s="150"/>
      <c r="L36" s="23"/>
      <c r="M36" s="23"/>
      <c r="N36" s="23"/>
      <c r="O36" s="23"/>
      <c r="P36" s="142">
        <v>0</v>
      </c>
    </row>
    <row r="37" spans="1:16" s="24" customFormat="1" ht="29.25" customHeight="1">
      <c r="A37" s="184" t="s">
        <v>38</v>
      </c>
      <c r="B37" s="185"/>
      <c r="C37" s="117" t="s">
        <v>24</v>
      </c>
      <c r="D37" s="123">
        <v>2011</v>
      </c>
      <c r="E37" s="123">
        <v>2013</v>
      </c>
      <c r="F37" s="150">
        <v>7920</v>
      </c>
      <c r="G37" s="150"/>
      <c r="H37" s="151">
        <v>2640</v>
      </c>
      <c r="I37" s="150">
        <v>2640</v>
      </c>
      <c r="J37" s="150"/>
      <c r="K37" s="150"/>
      <c r="L37" s="23"/>
      <c r="M37" s="23"/>
      <c r="N37" s="23"/>
      <c r="O37" s="23"/>
      <c r="P37" s="142">
        <v>0</v>
      </c>
    </row>
    <row r="38" spans="1:16" s="24" customFormat="1" ht="29.25" customHeight="1">
      <c r="A38" s="184" t="s">
        <v>39</v>
      </c>
      <c r="B38" s="185"/>
      <c r="C38" s="117" t="s">
        <v>24</v>
      </c>
      <c r="D38" s="123">
        <v>2011</v>
      </c>
      <c r="E38" s="123">
        <v>2013</v>
      </c>
      <c r="F38" s="150">
        <v>11100</v>
      </c>
      <c r="G38" s="150"/>
      <c r="H38" s="151">
        <v>3700</v>
      </c>
      <c r="I38" s="150">
        <v>3700</v>
      </c>
      <c r="J38" s="150"/>
      <c r="K38" s="150"/>
      <c r="L38" s="23"/>
      <c r="M38" s="23"/>
      <c r="N38" s="23"/>
      <c r="O38" s="23"/>
      <c r="P38" s="142">
        <v>0</v>
      </c>
    </row>
    <row r="39" spans="1:16" s="24" customFormat="1" ht="36.75" customHeight="1">
      <c r="A39" s="184" t="s">
        <v>40</v>
      </c>
      <c r="B39" s="185"/>
      <c r="C39" s="117" t="s">
        <v>24</v>
      </c>
      <c r="D39" s="123">
        <v>2011</v>
      </c>
      <c r="E39" s="123">
        <v>2014</v>
      </c>
      <c r="F39" s="150">
        <f>SUM(G39:I39)</f>
        <v>30558</v>
      </c>
      <c r="G39" s="150">
        <v>2400</v>
      </c>
      <c r="H39" s="151">
        <v>14079</v>
      </c>
      <c r="I39" s="150">
        <v>14079</v>
      </c>
      <c r="J39" s="150">
        <v>7189</v>
      </c>
      <c r="K39" s="150"/>
      <c r="L39" s="23"/>
      <c r="M39" s="23"/>
      <c r="N39" s="23"/>
      <c r="O39" s="23"/>
      <c r="P39" s="142">
        <v>0</v>
      </c>
    </row>
    <row r="40" spans="1:16" s="37" customFormat="1" ht="19.5" customHeight="1">
      <c r="A40" s="190" t="s">
        <v>20</v>
      </c>
      <c r="B40" s="191"/>
      <c r="C40" s="35"/>
      <c r="D40" s="35"/>
      <c r="E40" s="35"/>
      <c r="F40" s="36"/>
      <c r="G40" s="36"/>
      <c r="H40" s="36"/>
      <c r="I40" s="132"/>
      <c r="J40" s="126"/>
      <c r="K40" s="36"/>
      <c r="L40" s="35"/>
      <c r="M40" s="35"/>
      <c r="N40" s="35"/>
      <c r="O40" s="35"/>
      <c r="P40" s="149">
        <f>SUM(G40:O40)</f>
        <v>0</v>
      </c>
    </row>
    <row r="41" spans="1:16" s="11" customFormat="1" ht="33" customHeight="1">
      <c r="A41" s="192" t="s">
        <v>41</v>
      </c>
      <c r="B41" s="193"/>
      <c r="C41" s="194"/>
      <c r="F41" s="171">
        <f aca="true" t="shared" si="13" ref="F41:O42">F42</f>
        <v>5178240</v>
      </c>
      <c r="G41" s="172">
        <f t="shared" si="13"/>
        <v>417759</v>
      </c>
      <c r="H41" s="173">
        <f t="shared" si="13"/>
        <v>666400</v>
      </c>
      <c r="I41" s="171">
        <f t="shared" si="13"/>
        <v>658499</v>
      </c>
      <c r="J41" s="171">
        <f t="shared" si="13"/>
        <v>650598</v>
      </c>
      <c r="K41" s="171">
        <f t="shared" si="13"/>
        <v>541396</v>
      </c>
      <c r="L41" s="171">
        <f t="shared" si="13"/>
        <v>636112</v>
      </c>
      <c r="M41" s="171">
        <f t="shared" si="13"/>
        <v>628211</v>
      </c>
      <c r="N41" s="171">
        <f t="shared" si="13"/>
        <v>620310</v>
      </c>
      <c r="O41" s="171">
        <f t="shared" si="13"/>
        <v>358955</v>
      </c>
      <c r="P41" s="174">
        <v>0</v>
      </c>
    </row>
    <row r="42" spans="1:17" s="34" customFormat="1" ht="18" customHeight="1">
      <c r="A42" s="133" t="s">
        <v>19</v>
      </c>
      <c r="B42" s="38"/>
      <c r="C42" s="33"/>
      <c r="D42" s="33"/>
      <c r="E42" s="33"/>
      <c r="F42" s="146">
        <f t="shared" si="13"/>
        <v>5178240</v>
      </c>
      <c r="G42" s="167">
        <f t="shared" si="13"/>
        <v>417759</v>
      </c>
      <c r="H42" s="146">
        <f t="shared" si="13"/>
        <v>666400</v>
      </c>
      <c r="I42" s="146">
        <f t="shared" si="13"/>
        <v>658499</v>
      </c>
      <c r="J42" s="146">
        <f t="shared" si="13"/>
        <v>650598</v>
      </c>
      <c r="K42" s="146">
        <f t="shared" si="13"/>
        <v>541396</v>
      </c>
      <c r="L42" s="146">
        <f t="shared" si="13"/>
        <v>636112</v>
      </c>
      <c r="M42" s="146">
        <f t="shared" si="13"/>
        <v>628211</v>
      </c>
      <c r="N42" s="146">
        <f t="shared" si="13"/>
        <v>620310</v>
      </c>
      <c r="O42" s="146">
        <f t="shared" si="13"/>
        <v>358955</v>
      </c>
      <c r="P42" s="160">
        <v>0</v>
      </c>
      <c r="Q42" s="39">
        <f>Q43</f>
        <v>0</v>
      </c>
    </row>
    <row r="43" spans="1:16" ht="51" customHeight="1">
      <c r="A43" s="186" t="s">
        <v>42</v>
      </c>
      <c r="B43" s="187"/>
      <c r="C43" s="119" t="s">
        <v>24</v>
      </c>
      <c r="D43" s="125">
        <v>2011</v>
      </c>
      <c r="E43" s="125">
        <v>2019</v>
      </c>
      <c r="F43" s="140">
        <f>SUM(G43:O43)</f>
        <v>5178240</v>
      </c>
      <c r="G43" s="140">
        <v>417759</v>
      </c>
      <c r="H43" s="151">
        <v>666400</v>
      </c>
      <c r="I43" s="140">
        <v>658499</v>
      </c>
      <c r="J43" s="140">
        <v>650598</v>
      </c>
      <c r="K43" s="140">
        <v>541396</v>
      </c>
      <c r="L43" s="158">
        <v>636112</v>
      </c>
      <c r="M43" s="158">
        <v>628211</v>
      </c>
      <c r="N43" s="140">
        <v>620310</v>
      </c>
      <c r="O43" s="140">
        <v>358955</v>
      </c>
      <c r="P43" s="159">
        <v>0</v>
      </c>
    </row>
    <row r="44" spans="7:11" ht="15">
      <c r="G44" s="40"/>
      <c r="H44" s="41"/>
      <c r="I44" s="40"/>
      <c r="J44" s="40"/>
      <c r="K44" s="40"/>
    </row>
    <row r="45" spans="7:11" ht="15">
      <c r="G45" s="40"/>
      <c r="H45" s="41"/>
      <c r="I45" s="40"/>
      <c r="J45" s="40"/>
      <c r="K45" s="40"/>
    </row>
    <row r="46" spans="7:11" ht="15">
      <c r="G46" s="40"/>
      <c r="H46" s="41"/>
      <c r="I46" s="40"/>
      <c r="J46" s="40"/>
      <c r="K46" s="40"/>
    </row>
    <row r="47" spans="7:11" ht="15">
      <c r="G47" s="40"/>
      <c r="H47" s="41"/>
      <c r="I47" s="40"/>
      <c r="J47" s="40"/>
      <c r="K47" s="40"/>
    </row>
    <row r="48" spans="7:11" ht="15">
      <c r="G48" s="40"/>
      <c r="H48" s="41"/>
      <c r="I48" s="40"/>
      <c r="J48" s="40"/>
      <c r="K48" s="40"/>
    </row>
    <row r="49" spans="7:11" ht="15">
      <c r="G49" s="40"/>
      <c r="H49" s="41"/>
      <c r="I49" s="40"/>
      <c r="J49" s="40"/>
      <c r="K49" s="40"/>
    </row>
    <row r="50" spans="7:11" ht="15">
      <c r="G50" s="40"/>
      <c r="H50" s="41"/>
      <c r="I50" s="40"/>
      <c r="J50" s="40"/>
      <c r="K50" s="40"/>
    </row>
    <row r="51" spans="7:11" ht="15">
      <c r="G51" s="40"/>
      <c r="H51" s="41"/>
      <c r="I51" s="40"/>
      <c r="J51" s="40"/>
      <c r="K51" s="40"/>
    </row>
    <row r="52" spans="7:11" ht="15">
      <c r="G52" s="40"/>
      <c r="H52" s="41"/>
      <c r="I52" s="40"/>
      <c r="J52" s="40"/>
      <c r="K52" s="40"/>
    </row>
    <row r="53" spans="7:11" ht="15">
      <c r="G53" s="40"/>
      <c r="H53" s="41"/>
      <c r="I53" s="40"/>
      <c r="J53" s="40"/>
      <c r="K53" s="40"/>
    </row>
    <row r="54" spans="7:11" ht="15">
      <c r="G54" s="40"/>
      <c r="H54" s="41"/>
      <c r="I54" s="40"/>
      <c r="J54" s="40"/>
      <c r="K54" s="40"/>
    </row>
    <row r="55" spans="7:11" ht="15">
      <c r="G55" s="40"/>
      <c r="H55" s="41"/>
      <c r="I55" s="40"/>
      <c r="J55" s="40"/>
      <c r="K55" s="40"/>
    </row>
    <row r="56" spans="7:11" ht="15">
      <c r="G56" s="40"/>
      <c r="H56" s="41"/>
      <c r="I56" s="40"/>
      <c r="J56" s="40"/>
      <c r="K56" s="40"/>
    </row>
    <row r="57" spans="7:11" ht="15">
      <c r="G57" s="40"/>
      <c r="H57" s="41"/>
      <c r="I57" s="40"/>
      <c r="J57" s="40"/>
      <c r="K57" s="40"/>
    </row>
    <row r="58" spans="7:11" ht="15">
      <c r="G58" s="40"/>
      <c r="H58" s="41"/>
      <c r="I58" s="40"/>
      <c r="J58" s="40"/>
      <c r="K58" s="40"/>
    </row>
    <row r="59" spans="7:11" ht="15">
      <c r="G59" s="40"/>
      <c r="H59" s="41"/>
      <c r="I59" s="40"/>
      <c r="J59" s="40"/>
      <c r="K59" s="40"/>
    </row>
    <row r="60" spans="7:11" ht="15">
      <c r="G60" s="40"/>
      <c r="H60" s="41"/>
      <c r="I60" s="40"/>
      <c r="J60" s="40"/>
      <c r="K60" s="40"/>
    </row>
    <row r="61" spans="7:11" ht="15">
      <c r="G61" s="40"/>
      <c r="H61" s="41"/>
      <c r="I61" s="40"/>
      <c r="J61" s="40"/>
      <c r="K61" s="40"/>
    </row>
    <row r="62" spans="7:11" ht="15">
      <c r="G62" s="40"/>
      <c r="H62" s="41"/>
      <c r="I62" s="40"/>
      <c r="J62" s="40"/>
      <c r="K62" s="40"/>
    </row>
    <row r="63" spans="7:11" ht="15">
      <c r="G63" s="40"/>
      <c r="H63" s="41"/>
      <c r="I63" s="40"/>
      <c r="J63" s="40"/>
      <c r="K63" s="40"/>
    </row>
    <row r="64" spans="7:11" ht="15">
      <c r="G64" s="40"/>
      <c r="H64" s="41"/>
      <c r="I64" s="40"/>
      <c r="J64" s="40"/>
      <c r="K64" s="40"/>
    </row>
    <row r="65" spans="7:11" ht="15">
      <c r="G65" s="40"/>
      <c r="H65" s="41"/>
      <c r="I65" s="40"/>
      <c r="J65" s="40"/>
      <c r="K65" s="40"/>
    </row>
    <row r="66" spans="7:11" ht="15">
      <c r="G66" s="40"/>
      <c r="H66" s="41"/>
      <c r="I66" s="40"/>
      <c r="J66" s="40"/>
      <c r="K66" s="40"/>
    </row>
    <row r="67" spans="7:11" ht="15">
      <c r="G67" s="40"/>
      <c r="H67" s="41"/>
      <c r="I67" s="40"/>
      <c r="J67" s="40"/>
      <c r="K67" s="40"/>
    </row>
    <row r="68" spans="7:11" ht="15">
      <c r="G68" s="40"/>
      <c r="H68" s="41"/>
      <c r="I68" s="40"/>
      <c r="J68" s="40"/>
      <c r="K68" s="40"/>
    </row>
    <row r="69" spans="7:11" ht="15">
      <c r="G69" s="40"/>
      <c r="H69" s="41"/>
      <c r="I69" s="40"/>
      <c r="J69" s="40"/>
      <c r="K69" s="40"/>
    </row>
    <row r="70" spans="7:11" ht="15">
      <c r="G70" s="40"/>
      <c r="H70" s="41"/>
      <c r="I70" s="40"/>
      <c r="J70" s="40"/>
      <c r="K70" s="40"/>
    </row>
    <row r="71" spans="7:11" ht="15">
      <c r="G71" s="40"/>
      <c r="H71" s="41"/>
      <c r="I71" s="40"/>
      <c r="J71" s="40"/>
      <c r="K71" s="40"/>
    </row>
    <row r="72" spans="7:11" ht="15">
      <c r="G72" s="40"/>
      <c r="H72" s="41"/>
      <c r="I72" s="40"/>
      <c r="J72" s="40"/>
      <c r="K72" s="40"/>
    </row>
    <row r="73" spans="7:11" ht="15">
      <c r="G73" s="40"/>
      <c r="H73" s="41"/>
      <c r="I73" s="40"/>
      <c r="J73" s="40"/>
      <c r="K73" s="40"/>
    </row>
    <row r="74" spans="7:11" ht="15">
      <c r="G74" s="40"/>
      <c r="H74" s="41"/>
      <c r="I74" s="40"/>
      <c r="J74" s="40"/>
      <c r="K74" s="40"/>
    </row>
    <row r="75" spans="7:11" ht="15">
      <c r="G75" s="40"/>
      <c r="H75" s="41"/>
      <c r="I75" s="40"/>
      <c r="J75" s="40"/>
      <c r="K75" s="40"/>
    </row>
    <row r="76" spans="7:11" ht="15">
      <c r="G76" s="40"/>
      <c r="H76" s="41"/>
      <c r="I76" s="40"/>
      <c r="J76" s="40"/>
      <c r="K76" s="40"/>
    </row>
    <row r="77" spans="7:11" ht="15">
      <c r="G77" s="40"/>
      <c r="H77" s="41"/>
      <c r="I77" s="40"/>
      <c r="J77" s="40"/>
      <c r="K77" s="40"/>
    </row>
    <row r="78" spans="7:11" ht="15">
      <c r="G78" s="40"/>
      <c r="H78" s="41"/>
      <c r="I78" s="40"/>
      <c r="J78" s="40"/>
      <c r="K78" s="40"/>
    </row>
    <row r="79" spans="7:11" ht="15">
      <c r="G79" s="40"/>
      <c r="H79" s="41"/>
      <c r="I79" s="40"/>
      <c r="J79" s="40"/>
      <c r="K79" s="40"/>
    </row>
    <row r="80" spans="7:11" ht="15">
      <c r="G80" s="40"/>
      <c r="H80" s="41"/>
      <c r="I80" s="40"/>
      <c r="J80" s="40"/>
      <c r="K80" s="40"/>
    </row>
    <row r="81" spans="7:11" ht="15">
      <c r="G81" s="40"/>
      <c r="H81" s="41"/>
      <c r="I81" s="40"/>
      <c r="J81" s="40"/>
      <c r="K81" s="40"/>
    </row>
    <row r="82" spans="7:11" ht="15">
      <c r="G82" s="40"/>
      <c r="H82" s="41"/>
      <c r="I82" s="40"/>
      <c r="J82" s="40"/>
      <c r="K82" s="40"/>
    </row>
    <row r="83" spans="7:11" ht="15">
      <c r="G83" s="40"/>
      <c r="H83" s="41"/>
      <c r="I83" s="40"/>
      <c r="J83" s="40"/>
      <c r="K83" s="40"/>
    </row>
    <row r="84" spans="7:11" ht="15">
      <c r="G84" s="40"/>
      <c r="H84" s="41"/>
      <c r="I84" s="40"/>
      <c r="J84" s="40"/>
      <c r="K84" s="40"/>
    </row>
    <row r="85" spans="7:11" ht="15">
      <c r="G85" s="40"/>
      <c r="H85" s="41"/>
      <c r="I85" s="40"/>
      <c r="J85" s="40"/>
      <c r="K85" s="40"/>
    </row>
    <row r="86" spans="7:11" ht="15">
      <c r="G86" s="40"/>
      <c r="H86" s="41"/>
      <c r="I86" s="40"/>
      <c r="J86" s="40"/>
      <c r="K86" s="40"/>
    </row>
    <row r="87" spans="7:11" ht="15">
      <c r="G87" s="40"/>
      <c r="H87" s="41"/>
      <c r="I87" s="40"/>
      <c r="J87" s="40"/>
      <c r="K87" s="40"/>
    </row>
    <row r="88" spans="7:11" ht="15">
      <c r="G88" s="40"/>
      <c r="H88" s="41"/>
      <c r="I88" s="40"/>
      <c r="J88" s="40"/>
      <c r="K88" s="40"/>
    </row>
    <row r="89" spans="7:11" ht="15">
      <c r="G89" s="40"/>
      <c r="H89" s="41"/>
      <c r="I89" s="40"/>
      <c r="J89" s="40"/>
      <c r="K89" s="40"/>
    </row>
    <row r="90" spans="7:11" ht="15">
      <c r="G90" s="40"/>
      <c r="H90" s="41"/>
      <c r="I90" s="40"/>
      <c r="J90" s="40"/>
      <c r="K90" s="40"/>
    </row>
    <row r="91" spans="7:11" ht="15">
      <c r="G91" s="40"/>
      <c r="H91" s="41"/>
      <c r="I91" s="40"/>
      <c r="J91" s="40"/>
      <c r="K91" s="40"/>
    </row>
    <row r="92" spans="7:11" ht="15">
      <c r="G92" s="40"/>
      <c r="H92" s="41"/>
      <c r="I92" s="40"/>
      <c r="J92" s="40"/>
      <c r="K92" s="40"/>
    </row>
    <row r="93" spans="7:11" ht="15">
      <c r="G93" s="40"/>
      <c r="H93" s="41"/>
      <c r="I93" s="40"/>
      <c r="J93" s="40"/>
      <c r="K93" s="40"/>
    </row>
    <row r="94" spans="7:11" ht="15">
      <c r="G94" s="40"/>
      <c r="H94" s="41"/>
      <c r="I94" s="40"/>
      <c r="J94" s="40"/>
      <c r="K94" s="40"/>
    </row>
    <row r="95" spans="7:11" ht="15">
      <c r="G95" s="40"/>
      <c r="H95" s="41"/>
      <c r="I95" s="40"/>
      <c r="J95" s="40"/>
      <c r="K95" s="40"/>
    </row>
    <row r="96" spans="7:11" ht="15">
      <c r="G96" s="40"/>
      <c r="H96" s="41"/>
      <c r="I96" s="40"/>
      <c r="J96" s="40"/>
      <c r="K96" s="40"/>
    </row>
    <row r="97" spans="7:11" ht="15">
      <c r="G97" s="40"/>
      <c r="H97" s="41"/>
      <c r="I97" s="40"/>
      <c r="J97" s="40"/>
      <c r="K97" s="40"/>
    </row>
    <row r="98" spans="7:11" ht="15">
      <c r="G98" s="40"/>
      <c r="H98" s="41"/>
      <c r="I98" s="40"/>
      <c r="J98" s="40"/>
      <c r="K98" s="40"/>
    </row>
    <row r="99" spans="7:11" ht="15">
      <c r="G99" s="40"/>
      <c r="H99" s="41"/>
      <c r="I99" s="40"/>
      <c r="J99" s="40"/>
      <c r="K99" s="40"/>
    </row>
    <row r="100" spans="7:11" ht="15">
      <c r="G100" s="40"/>
      <c r="H100" s="41"/>
      <c r="I100" s="40"/>
      <c r="J100" s="40"/>
      <c r="K100" s="40"/>
    </row>
    <row r="101" spans="7:11" ht="15">
      <c r="G101" s="40"/>
      <c r="H101" s="41"/>
      <c r="I101" s="40"/>
      <c r="J101" s="40"/>
      <c r="K101" s="40"/>
    </row>
    <row r="102" spans="7:11" ht="15">
      <c r="G102" s="40"/>
      <c r="H102" s="41"/>
      <c r="I102" s="40"/>
      <c r="J102" s="40"/>
      <c r="K102" s="40"/>
    </row>
    <row r="103" spans="7:11" ht="15">
      <c r="G103" s="40"/>
      <c r="H103" s="41"/>
      <c r="I103" s="40"/>
      <c r="J103" s="40"/>
      <c r="K103" s="40"/>
    </row>
    <row r="104" spans="7:11" ht="15">
      <c r="G104" s="40"/>
      <c r="H104" s="41"/>
      <c r="I104" s="40"/>
      <c r="J104" s="40"/>
      <c r="K104" s="40"/>
    </row>
    <row r="105" spans="7:11" ht="15">
      <c r="G105" s="40"/>
      <c r="H105" s="41"/>
      <c r="I105" s="40"/>
      <c r="J105" s="40"/>
      <c r="K105" s="40"/>
    </row>
    <row r="106" spans="7:11" ht="15">
      <c r="G106" s="40"/>
      <c r="H106" s="41"/>
      <c r="I106" s="40"/>
      <c r="J106" s="40"/>
      <c r="K106" s="40"/>
    </row>
    <row r="107" spans="7:11" ht="15">
      <c r="G107" s="40"/>
      <c r="H107" s="41"/>
      <c r="I107" s="40"/>
      <c r="J107" s="40"/>
      <c r="K107" s="40"/>
    </row>
    <row r="108" spans="7:11" ht="15">
      <c r="G108" s="40"/>
      <c r="H108" s="41"/>
      <c r="I108" s="40"/>
      <c r="J108" s="40"/>
      <c r="K108" s="40"/>
    </row>
    <row r="109" spans="7:11" ht="15">
      <c r="G109" s="40"/>
      <c r="H109" s="41"/>
      <c r="I109" s="40"/>
      <c r="J109" s="40"/>
      <c r="K109" s="40"/>
    </row>
  </sheetData>
  <sheetProtection/>
  <mergeCells count="50">
    <mergeCell ref="A1:M1"/>
    <mergeCell ref="N1:P1"/>
    <mergeCell ref="A2:B3"/>
    <mergeCell ref="C2:C3"/>
    <mergeCell ref="D2:E2"/>
    <mergeCell ref="F2:F3"/>
    <mergeCell ref="G2:G3"/>
    <mergeCell ref="H2:H3"/>
    <mergeCell ref="I2:I3"/>
    <mergeCell ref="J2:J3"/>
    <mergeCell ref="A16:B16"/>
    <mergeCell ref="L2:L3"/>
    <mergeCell ref="M2:M3"/>
    <mergeCell ref="N2:N3"/>
    <mergeCell ref="A4:B4"/>
    <mergeCell ref="A13:B13"/>
    <mergeCell ref="P2:P3"/>
    <mergeCell ref="A10:C10"/>
    <mergeCell ref="A15:B15"/>
    <mergeCell ref="O2:O3"/>
    <mergeCell ref="A28:B28"/>
    <mergeCell ref="A19:B19"/>
    <mergeCell ref="K2:K3"/>
    <mergeCell ref="A20:B20"/>
    <mergeCell ref="A21:B21"/>
    <mergeCell ref="A7:C7"/>
    <mergeCell ref="A12:B12"/>
    <mergeCell ref="A14:B14"/>
    <mergeCell ref="A17:B17"/>
    <mergeCell ref="A18:B18"/>
    <mergeCell ref="A37:B37"/>
    <mergeCell ref="A38:B38"/>
    <mergeCell ref="A22:B22"/>
    <mergeCell ref="A23:B23"/>
    <mergeCell ref="A24:B24"/>
    <mergeCell ref="A30:C30"/>
    <mergeCell ref="A31:B31"/>
    <mergeCell ref="A25:B25"/>
    <mergeCell ref="A27:B27"/>
    <mergeCell ref="A29:B29"/>
    <mergeCell ref="A26:B26"/>
    <mergeCell ref="A43:B43"/>
    <mergeCell ref="A32:B32"/>
    <mergeCell ref="A34:B34"/>
    <mergeCell ref="A40:B40"/>
    <mergeCell ref="A41:C41"/>
    <mergeCell ref="A33:B33"/>
    <mergeCell ref="A35:B35"/>
    <mergeCell ref="A36:B36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jwisniewski</cp:lastModifiedBy>
  <cp:lastPrinted>2012-06-14T10:21:32Z</cp:lastPrinted>
  <dcterms:created xsi:type="dcterms:W3CDTF">2012-04-10T06:01:03Z</dcterms:created>
  <dcterms:modified xsi:type="dcterms:W3CDTF">2012-06-14T12:38:50Z</dcterms:modified>
  <cp:category/>
  <cp:version/>
  <cp:contentType/>
  <cp:contentStatus/>
</cp:coreProperties>
</file>