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8540" windowHeight="8550" activeTab="0"/>
  </bookViews>
  <sheets>
    <sheet name="Zał-2 PROJEKT PLANU WYDATKÓW" sheetId="1" r:id="rId1"/>
  </sheets>
  <definedNames>
    <definedName name="_xlnm.Print_Area" localSheetId="0">'Zał-2 PROJEKT PLANU WYDATKÓW'!$A$1:$R$203</definedName>
    <definedName name="_xlnm.Print_Titles" localSheetId="0">'Zał-2 PROJEKT PLANU WYDATKÓW'!$5:$10</definedName>
  </definedNames>
  <calcPr fullCalcOnLoad="1"/>
</workbook>
</file>

<file path=xl/sharedStrings.xml><?xml version="1.0" encoding="utf-8"?>
<sst xmlns="http://schemas.openxmlformats.org/spreadsheetml/2006/main" count="274" uniqueCount="169">
  <si>
    <t>Załącznik nr 2 do projektu Uchwały Budżetowej</t>
  </si>
  <si>
    <t>Dział</t>
  </si>
  <si>
    <t>Rozdział</t>
  </si>
  <si>
    <t>Wyszczególnienie</t>
  </si>
  <si>
    <t>Planowane wykonanie wydatków za 2009 rok</t>
  </si>
  <si>
    <t>Wydatki majątkowe</t>
  </si>
  <si>
    <t>Wydatki na programy finansowane z udziałem środków o których mowa w art.. 5 ust. 1 pkt 2 i 3</t>
  </si>
  <si>
    <t>pozostałe wydatki</t>
  </si>
  <si>
    <t xml:space="preserve">      </t>
  </si>
  <si>
    <t>Pozostała działalność</t>
  </si>
  <si>
    <t>Transport i łączność</t>
  </si>
  <si>
    <t>60014</t>
  </si>
  <si>
    <t>Drogi publiczne powiatowe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</si>
  <si>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</si>
  <si>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</si>
  <si>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</si>
  <si>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</si>
  <si>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</si>
  <si>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Starostwa powiatowe</t>
  </si>
  <si>
    <t>Promocja jednostek samorządu terytorialnego</t>
  </si>
  <si>
    <t>Bezpieczeństwo publiczne i ochrona przeciwpożarowa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</si>
  <si>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</si>
  <si>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</si>
  <si>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</si>
  <si>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</si>
  <si>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</si>
  <si>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Różne rozliczenia</t>
  </si>
  <si>
    <t>Oświata i wychowanie</t>
  </si>
  <si>
    <t>Stołówki szkolne</t>
  </si>
  <si>
    <t>Ochrona zdrowia</t>
  </si>
  <si>
    <t>Pomoc społeczna</t>
  </si>
  <si>
    <t>Domy Pomocy Społecznej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</si>
  <si>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</si>
  <si>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</si>
  <si>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</si>
  <si>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</si>
  <si>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Kultura i ochrona dziedzictwa narodowego</t>
  </si>
  <si>
    <t>Biblioteki</t>
  </si>
  <si>
    <t>Kultura fizyczna i sport</t>
  </si>
  <si>
    <t>Zadania w zakresie kultury fizycznej i sportu</t>
  </si>
  <si>
    <t>Ogółem wydatki:</t>
  </si>
  <si>
    <t>Wydatki jednostek 
budżetowych na:</t>
  </si>
  <si>
    <t>wynagrodzenia i składki od nich naliczane</t>
  </si>
  <si>
    <t>wydatki związane z realizacją zadań statutowych jednostek budżetowych</t>
  </si>
  <si>
    <t>Dotacje na zadania bieżące</t>
  </si>
  <si>
    <t>Świadczenia na rzecz osób fizycznych</t>
  </si>
  <si>
    <t>w tym:</t>
  </si>
  <si>
    <t>Wypłaty z tytułu poreczeń i gwarancji</t>
  </si>
  <si>
    <t>Obsługa długu</t>
  </si>
  <si>
    <t>Łączna kwota planowanych wydatków
(5+6)</t>
  </si>
  <si>
    <t>020</t>
  </si>
  <si>
    <t>Leśnictwo</t>
  </si>
  <si>
    <t>02001</t>
  </si>
  <si>
    <t>Gospodarka leśna</t>
  </si>
  <si>
    <t>02002</t>
  </si>
  <si>
    <t>Nadzór nad gospodarką leśną</t>
  </si>
  <si>
    <t>60013</t>
  </si>
  <si>
    <t>Drogi publiczne wojewódzkie</t>
  </si>
  <si>
    <t>630</t>
  </si>
  <si>
    <t>63003</t>
  </si>
  <si>
    <t>Turystyka</t>
  </si>
  <si>
    <t>Zadania w zakresie upowszechniania turystyki</t>
  </si>
  <si>
    <t>63095</t>
  </si>
  <si>
    <t>71012</t>
  </si>
  <si>
    <t>71013</t>
  </si>
  <si>
    <t>Ośrodki dokumentacji geodezyjnej i kartograficznej</t>
  </si>
  <si>
    <t>Prace geodezyjne i kartograficzne (nieinwestycyjne)</t>
  </si>
  <si>
    <t>71014</t>
  </si>
  <si>
    <t>Opracowania geodezyjne i kartograficzne</t>
  </si>
  <si>
    <t>71015</t>
  </si>
  <si>
    <t>Nadzór budowlany</t>
  </si>
  <si>
    <t>Rady powiatów</t>
  </si>
  <si>
    <t>Kwalifikacja wojskowa</t>
  </si>
  <si>
    <t>Komendy powiatowe Policji</t>
  </si>
  <si>
    <t>Rezerwy ogólne i celowe w tym:</t>
  </si>
  <si>
    <t xml:space="preserve"> -  rezerwa ogólna</t>
  </si>
  <si>
    <t xml:space="preserve"> - rezerwa celowa oświatowa</t>
  </si>
  <si>
    <t xml:space="preserve"> - rezrwa celowa na inwestycje i zakupy inwestycyjne</t>
  </si>
  <si>
    <t xml:space="preserve"> - rezrwa celowa na zadania w zakresie zarządzania kryzysowego</t>
  </si>
  <si>
    <t xml:space="preserve"> - rezerwa celowa na wkłady własne do projektów w dziedzinie kultury</t>
  </si>
  <si>
    <t>Licea ogólnokształcące</t>
  </si>
  <si>
    <t>II LO Cieszyn</t>
  </si>
  <si>
    <t>ZSO Skoczów</t>
  </si>
  <si>
    <t>I LO Cieszyn</t>
  </si>
  <si>
    <t>ZSO Wisła</t>
  </si>
  <si>
    <t>ZSP Ustroń</t>
  </si>
  <si>
    <t>ZSP Istebna</t>
  </si>
  <si>
    <t>Licea profilowane</t>
  </si>
  <si>
    <t>Szkoły zawodowe</t>
  </si>
  <si>
    <t>ZSZ Skoczów</t>
  </si>
  <si>
    <t>ZSEG Cieszyn</t>
  </si>
  <si>
    <t>ZSGH Wisła</t>
  </si>
  <si>
    <t>ZSB Cieszyn</t>
  </si>
  <si>
    <t>ZSR Międzyświeć</t>
  </si>
  <si>
    <t>ZST Cieszyn</t>
  </si>
  <si>
    <t>Centra kształcenia ustawicznego i praktycznego oraz ośroidki dokształcania zawodowego</t>
  </si>
  <si>
    <t>CKP Bażanowice</t>
  </si>
  <si>
    <t>Dokształcanie i doskonalenie nauczycieli</t>
  </si>
  <si>
    <t xml:space="preserve">ZST Cieszyn </t>
  </si>
  <si>
    <t>Szpitale ogólne</t>
  </si>
  <si>
    <t>Składki na ubezpieczenia zdrowotne oraz świadczenia dla osób nie objętych obowiązkiem ubezpieczenia zdrowotnego</t>
  </si>
  <si>
    <t>Placówki opiekuńczo - wychowawcze</t>
  </si>
  <si>
    <t>DD Cieszyn</t>
  </si>
  <si>
    <t>OPDiR DD Miedzyświeć</t>
  </si>
  <si>
    <t xml:space="preserve">PCPR </t>
  </si>
  <si>
    <t>PCPR usamodzielnienia</t>
  </si>
  <si>
    <t>DPS Cieszyn</t>
  </si>
  <si>
    <t>DPS Kończyce Małe</t>
  </si>
  <si>
    <t>DPS Pogórze</t>
  </si>
  <si>
    <t>DPS Skoczów</t>
  </si>
  <si>
    <t>PCPR</t>
  </si>
  <si>
    <t>Ośrodki wsparcia</t>
  </si>
  <si>
    <t>Rodziny zastępcze</t>
  </si>
  <si>
    <t>Zadania w zakresie przeciwdziałania przemocy w rodzinie</t>
  </si>
  <si>
    <t>Powiatowe centra pomocy rodzinie</t>
  </si>
  <si>
    <t>Ośrodki adopcyjno - opiekuńcze</t>
  </si>
  <si>
    <t>Rehabilitacja zawodowa i społeczna</t>
  </si>
  <si>
    <t>PCPR (granty)</t>
  </si>
  <si>
    <t>PUP</t>
  </si>
  <si>
    <t>OPDiR DD Międzyświeć</t>
  </si>
  <si>
    <t>Specjalne ośrodki szkolno - wychowawcze</t>
  </si>
  <si>
    <t>SOSW Cieszyn</t>
  </si>
  <si>
    <t>Wczesne wspomaganie rozwoju dziecka</t>
  </si>
  <si>
    <t>Poradnie psychologiczno - pedagogiczne</t>
  </si>
  <si>
    <t>PPP Cieszyn</t>
  </si>
  <si>
    <t>PPP Skoczów</t>
  </si>
  <si>
    <t>Placówki wychowwania pozaszkolnego</t>
  </si>
  <si>
    <t>OPP Koniaków</t>
  </si>
  <si>
    <t>Internaty i bursy szkolne</t>
  </si>
  <si>
    <t>Szkolne schroniska młodzieżowe</t>
  </si>
  <si>
    <t>SSM Istebna</t>
  </si>
  <si>
    <t>Ośrodki rewalidacyjno - wychowawcze</t>
  </si>
  <si>
    <t>jed. ZFŚS</t>
  </si>
  <si>
    <t>Muzea</t>
  </si>
  <si>
    <t>wydatki na świadczenia na rzecz osób fizycznych</t>
  </si>
  <si>
    <t>Wydatki 
bieżące
(7+8+9+10
+11+12+13+14+15)</t>
  </si>
  <si>
    <t>SP - WN</t>
  </si>
  <si>
    <t>SP - WZ</t>
  </si>
  <si>
    <t>RDD Zamarski</t>
  </si>
  <si>
    <t>SP</t>
  </si>
  <si>
    <t>PZDP</t>
  </si>
  <si>
    <t>Powiatowe Urzędy Pracy</t>
  </si>
  <si>
    <t>SP - WS</t>
  </si>
  <si>
    <t>SP - WT</t>
  </si>
  <si>
    <t>SP - ZN</t>
  </si>
  <si>
    <t>SP - WF</t>
  </si>
  <si>
    <t>SP - WG</t>
  </si>
  <si>
    <t>PINB</t>
  </si>
  <si>
    <t>SP - BR</t>
  </si>
  <si>
    <t>SP - WO</t>
  </si>
  <si>
    <t>SP - WK</t>
  </si>
  <si>
    <t>KP PSP</t>
  </si>
  <si>
    <t>SP - WI</t>
  </si>
  <si>
    <t>SP - WR</t>
  </si>
  <si>
    <t>SP - WE</t>
  </si>
  <si>
    <t>SP- WR</t>
  </si>
  <si>
    <t>PUP(granty)</t>
  </si>
  <si>
    <t>Wydatki budżetu powiatu na 2011 rok
wg działów i rozdziałów klasyfikacji budżetowej</t>
  </si>
  <si>
    <t>SSM Wisła Granit</t>
  </si>
  <si>
    <t>Jednostki odp. za realziację</t>
  </si>
  <si>
    <t>ZS  Cieszyn</t>
  </si>
  <si>
    <t>ZS Cieszyn</t>
  </si>
  <si>
    <t>Zespoły do spraw orzekania o niepełnosprawności</t>
  </si>
  <si>
    <t>71095</t>
  </si>
  <si>
    <t>Straż Graniczna</t>
  </si>
  <si>
    <t>PCPR (EFS)</t>
  </si>
  <si>
    <t>Rozliczenia z tytułu poręczeń i gwarancji udzielonych przez Skarb Państwa lub jednostkę samorządu terytorialnego</t>
  </si>
  <si>
    <t>SP -WI</t>
  </si>
  <si>
    <t xml:space="preserve">  Przewidywanie wykonanie  2010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</si>
</sst>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43" fontId="25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72" fontId="2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43" fontId="24" fillId="0" borderId="1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172" fontId="25" fillId="0" borderId="10" xfId="0" applyNumberFormat="1" applyFont="1" applyBorder="1" applyAlignment="1">
      <alignment horizontal="right" vertical="center"/>
    </xf>
    <xf numFmtId="43" fontId="25" fillId="0" borderId="1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5" fillId="0" borderId="14" xfId="0" applyFont="1" applyBorder="1" applyAlignment="1">
      <alignment vertical="top" wrapText="1"/>
    </xf>
    <xf numFmtId="43" fontId="25" fillId="0" borderId="14" xfId="0" applyNumberFormat="1" applyFont="1" applyBorder="1" applyAlignment="1">
      <alignment horizontal="right" vertical="top" wrapText="1"/>
    </xf>
    <xf numFmtId="43" fontId="24" fillId="0" borderId="14" xfId="0" applyNumberFormat="1" applyFont="1" applyBorder="1" applyAlignment="1">
      <alignment horizontal="right" vertical="top" wrapText="1"/>
    </xf>
    <xf numFmtId="43" fontId="25" fillId="0" borderId="13" xfId="0" applyNumberFormat="1" applyFont="1" applyBorder="1" applyAlignment="1">
      <alignment horizontal="right" vertical="top" wrapText="1"/>
    </xf>
    <xf numFmtId="43" fontId="25" fillId="0" borderId="12" xfId="0" applyNumberFormat="1" applyFont="1" applyBorder="1" applyAlignment="1">
      <alignment horizontal="right" vertical="top" wrapText="1"/>
    </xf>
    <xf numFmtId="43" fontId="24" fillId="0" borderId="12" xfId="0" applyNumberFormat="1" applyFont="1" applyBorder="1" applyAlignment="1">
      <alignment horizontal="right" vertical="top" wrapText="1"/>
    </xf>
    <xf numFmtId="49" fontId="24" fillId="0" borderId="13" xfId="0" applyNumberFormat="1" applyFont="1" applyBorder="1" applyAlignment="1">
      <alignment horizontal="center" vertical="top" wrapText="1"/>
    </xf>
    <xf numFmtId="43" fontId="25" fillId="0" borderId="14" xfId="0" applyNumberFormat="1" applyFont="1" applyBorder="1" applyAlignment="1">
      <alignment horizontal="right" vertical="top" wrapText="1"/>
    </xf>
    <xf numFmtId="43" fontId="25" fillId="0" borderId="12" xfId="0" applyNumberFormat="1" applyFont="1" applyBorder="1" applyAlignment="1">
      <alignment horizontal="right" vertical="top" wrapText="1"/>
    </xf>
    <xf numFmtId="43" fontId="25" fillId="0" borderId="10" xfId="0" applyNumberFormat="1" applyFont="1" applyFill="1" applyBorder="1" applyAlignment="1">
      <alignment horizontal="right" vertical="top" wrapText="1"/>
    </xf>
    <xf numFmtId="181" fontId="25" fillId="0" borderId="10" xfId="0" applyNumberFormat="1" applyFont="1" applyBorder="1" applyAlignment="1">
      <alignment horizontal="center" vertical="center"/>
    </xf>
    <xf numFmtId="181" fontId="25" fillId="0" borderId="12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 wrapText="1"/>
    </xf>
    <xf numFmtId="0" fontId="24" fillId="0" borderId="14" xfId="0" applyFont="1" applyBorder="1" applyAlignment="1">
      <alignment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5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right" vertical="center"/>
    </xf>
    <xf numFmtId="0" fontId="25" fillId="0" borderId="18" xfId="0" applyFont="1" applyBorder="1" applyAlignment="1">
      <alignment horizontal="left" vertical="top" wrapText="1"/>
    </xf>
    <xf numFmtId="43" fontId="25" fillId="0" borderId="18" xfId="0" applyNumberFormat="1" applyFont="1" applyBorder="1" applyAlignment="1">
      <alignment horizontal="right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left" vertical="center" wrapText="1"/>
    </xf>
    <xf numFmtId="172" fontId="25" fillId="0" borderId="14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vertical="top" wrapText="1"/>
    </xf>
    <xf numFmtId="41" fontId="25" fillId="0" borderId="14" xfId="0" applyNumberFormat="1" applyFont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vertical="center" wrapText="1"/>
    </xf>
    <xf numFmtId="41" fontId="26" fillId="0" borderId="14" xfId="42" applyNumberFormat="1" applyFont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4" xfId="0" applyNumberFormat="1" applyFont="1" applyBorder="1" applyAlignment="1">
      <alignment horizontal="right" vertical="center" wrapText="1"/>
    </xf>
    <xf numFmtId="41" fontId="25" fillId="0" borderId="12" xfId="0" applyNumberFormat="1" applyFont="1" applyBorder="1" applyAlignment="1">
      <alignment horizontal="left" vertical="top" wrapText="1"/>
    </xf>
    <xf numFmtId="41" fontId="0" fillId="0" borderId="12" xfId="0" applyNumberFormat="1" applyFont="1" applyBorder="1" applyAlignment="1">
      <alignment horizontal="right" vertical="center" wrapText="1"/>
    </xf>
    <xf numFmtId="41" fontId="26" fillId="0" borderId="12" xfId="42" applyNumberFormat="1" applyFont="1" applyBorder="1" applyAlignment="1">
      <alignment horizontal="right" vertical="center" wrapText="1"/>
    </xf>
    <xf numFmtId="41" fontId="0" fillId="0" borderId="12" xfId="0" applyNumberFormat="1" applyFont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2" xfId="42" applyNumberFormat="1" applyFont="1" applyBorder="1" applyAlignment="1">
      <alignment horizontal="right" vertical="center" wrapText="1"/>
    </xf>
    <xf numFmtId="41" fontId="25" fillId="0" borderId="22" xfId="0" applyNumberFormat="1" applyFont="1" applyBorder="1" applyAlignment="1">
      <alignment horizontal="left" vertical="top" wrapText="1"/>
    </xf>
    <xf numFmtId="41" fontId="0" fillId="0" borderId="22" xfId="0" applyNumberFormat="1" applyFont="1" applyBorder="1" applyAlignment="1">
      <alignment horizontal="right" vertical="center" wrapText="1"/>
    </xf>
    <xf numFmtId="41" fontId="0" fillId="0" borderId="22" xfId="42" applyNumberFormat="1" applyFont="1" applyBorder="1" applyAlignment="1">
      <alignment horizontal="right" vertical="center" wrapText="1"/>
    </xf>
    <xf numFmtId="41" fontId="23" fillId="0" borderId="13" xfId="0" applyNumberFormat="1" applyFont="1" applyBorder="1" applyAlignment="1">
      <alignment horizontal="right" vertical="center" wrapText="1"/>
    </xf>
    <xf numFmtId="41" fontId="0" fillId="0" borderId="13" xfId="42" applyNumberFormat="1" applyFont="1" applyBorder="1" applyAlignment="1">
      <alignment horizontal="right" vertical="center" wrapText="1"/>
    </xf>
    <xf numFmtId="41" fontId="0" fillId="0" borderId="13" xfId="0" applyNumberFormat="1" applyFont="1" applyBorder="1" applyAlignment="1">
      <alignment horizontal="right" vertical="center" wrapText="1"/>
    </xf>
    <xf numFmtId="41" fontId="25" fillId="0" borderId="22" xfId="0" applyNumberFormat="1" applyFont="1" applyBorder="1" applyAlignment="1">
      <alignment horizontal="left" vertical="top" wrapText="1"/>
    </xf>
    <xf numFmtId="41" fontId="0" fillId="0" borderId="22" xfId="0" applyNumberFormat="1" applyFont="1" applyBorder="1" applyAlignment="1">
      <alignment horizontal="right" vertical="center" wrapText="1"/>
    </xf>
    <xf numFmtId="41" fontId="0" fillId="0" borderId="22" xfId="42" applyNumberFormat="1" applyFont="1" applyBorder="1" applyAlignment="1">
      <alignment horizontal="right" vertical="center" wrapText="1"/>
    </xf>
    <xf numFmtId="41" fontId="25" fillId="0" borderId="23" xfId="0" applyNumberFormat="1" applyFont="1" applyBorder="1" applyAlignment="1">
      <alignment horizontal="left" vertical="top" wrapText="1"/>
    </xf>
    <xf numFmtId="41" fontId="0" fillId="0" borderId="23" xfId="0" applyNumberFormat="1" applyFont="1" applyBorder="1" applyAlignment="1">
      <alignment horizontal="right" vertical="center" wrapText="1"/>
    </xf>
    <xf numFmtId="41" fontId="0" fillId="0" borderId="23" xfId="42" applyNumberFormat="1" applyFont="1" applyBorder="1" applyAlignment="1">
      <alignment horizontal="right" vertical="center" wrapText="1"/>
    </xf>
    <xf numFmtId="41" fontId="25" fillId="0" borderId="10" xfId="0" applyNumberFormat="1" applyFont="1" applyBorder="1" applyAlignment="1">
      <alignment horizontal="left" vertical="top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10" xfId="42" applyNumberFormat="1" applyFont="1" applyBorder="1" applyAlignment="1">
      <alignment horizontal="right" vertical="center" wrapText="1"/>
    </xf>
    <xf numFmtId="41" fontId="25" fillId="0" borderId="24" xfId="0" applyNumberFormat="1" applyFont="1" applyBorder="1" applyAlignment="1">
      <alignment horizontal="left" vertical="top" wrapText="1"/>
    </xf>
    <xf numFmtId="41" fontId="0" fillId="0" borderId="24" xfId="0" applyNumberFormat="1" applyFont="1" applyBorder="1" applyAlignment="1">
      <alignment horizontal="right" vertical="center" wrapText="1"/>
    </xf>
    <xf numFmtId="41" fontId="0" fillId="0" borderId="24" xfId="42" applyNumberFormat="1" applyFont="1" applyBorder="1" applyAlignment="1">
      <alignment horizontal="right" vertical="center" wrapText="1"/>
    </xf>
    <xf numFmtId="41" fontId="25" fillId="0" borderId="25" xfId="0" applyNumberFormat="1" applyFont="1" applyBorder="1" applyAlignment="1">
      <alignment horizontal="left" vertical="top" wrapText="1"/>
    </xf>
    <xf numFmtId="41" fontId="0" fillId="0" borderId="25" xfId="0" applyNumberFormat="1" applyFont="1" applyBorder="1" applyAlignment="1">
      <alignment horizontal="right" vertical="center" wrapText="1"/>
    </xf>
    <xf numFmtId="41" fontId="0" fillId="0" borderId="25" xfId="42" applyNumberFormat="1" applyFont="1" applyBorder="1" applyAlignment="1">
      <alignment horizontal="right" vertical="center" wrapText="1"/>
    </xf>
    <xf numFmtId="41" fontId="25" fillId="0" borderId="26" xfId="0" applyNumberFormat="1" applyFont="1" applyBorder="1" applyAlignment="1">
      <alignment horizontal="left" vertical="top" wrapText="1"/>
    </xf>
    <xf numFmtId="41" fontId="0" fillId="0" borderId="26" xfId="0" applyNumberFormat="1" applyFont="1" applyBorder="1" applyAlignment="1">
      <alignment horizontal="right" vertical="center" wrapText="1"/>
    </xf>
    <xf numFmtId="41" fontId="0" fillId="0" borderId="26" xfId="42" applyNumberFormat="1" applyFont="1" applyBorder="1" applyAlignment="1">
      <alignment horizontal="right" vertical="center" wrapText="1"/>
    </xf>
    <xf numFmtId="41" fontId="25" fillId="0" borderId="13" xfId="0" applyNumberFormat="1" applyFont="1" applyBorder="1" applyAlignment="1">
      <alignment horizontal="left" vertical="top" wrapText="1"/>
    </xf>
    <xf numFmtId="41" fontId="0" fillId="0" borderId="13" xfId="0" applyNumberFormat="1" applyFont="1" applyBorder="1" applyAlignment="1">
      <alignment horizontal="right" vertical="center" wrapText="1"/>
    </xf>
    <xf numFmtId="41" fontId="0" fillId="0" borderId="13" xfId="42" applyNumberFormat="1" applyFont="1" applyBorder="1" applyAlignment="1">
      <alignment horizontal="right" vertical="center" wrapText="1"/>
    </xf>
    <xf numFmtId="41" fontId="25" fillId="0" borderId="18" xfId="0" applyNumberFormat="1" applyFont="1" applyBorder="1" applyAlignment="1">
      <alignment horizontal="left" vertical="top" wrapText="1"/>
    </xf>
    <xf numFmtId="41" fontId="0" fillId="0" borderId="18" xfId="0" applyNumberFormat="1" applyFont="1" applyBorder="1" applyAlignment="1">
      <alignment horizontal="right" vertical="center" wrapText="1"/>
    </xf>
    <xf numFmtId="41" fontId="0" fillId="0" borderId="18" xfId="42" applyNumberFormat="1" applyFont="1" applyBorder="1" applyAlignment="1">
      <alignment horizontal="right" vertical="center" wrapText="1"/>
    </xf>
    <xf numFmtId="41" fontId="0" fillId="0" borderId="14" xfId="0" applyNumberFormat="1" applyFont="1" applyBorder="1" applyAlignment="1">
      <alignment horizontal="right" vertical="center" wrapText="1"/>
    </xf>
    <xf numFmtId="41" fontId="0" fillId="0" borderId="22" xfId="42" applyNumberFormat="1" applyFont="1" applyBorder="1" applyAlignment="1">
      <alignment horizontal="right" vertical="center" wrapText="1"/>
    </xf>
    <xf numFmtId="41" fontId="23" fillId="0" borderId="22" xfId="0" applyNumberFormat="1" applyFont="1" applyBorder="1" applyAlignment="1">
      <alignment horizontal="right" vertical="center" wrapText="1"/>
    </xf>
    <xf numFmtId="41" fontId="0" fillId="0" borderId="25" xfId="0" applyNumberFormat="1" applyFont="1" applyBorder="1" applyAlignment="1">
      <alignment horizontal="right" vertical="center" wrapText="1"/>
    </xf>
    <xf numFmtId="41" fontId="0" fillId="0" borderId="25" xfId="42" applyNumberFormat="1" applyFont="1" applyBorder="1" applyAlignment="1">
      <alignment horizontal="right" vertical="center" wrapText="1"/>
    </xf>
    <xf numFmtId="41" fontId="23" fillId="0" borderId="25" xfId="0" applyNumberFormat="1" applyFont="1" applyBorder="1" applyAlignment="1">
      <alignment horizontal="right" vertical="center" wrapText="1"/>
    </xf>
    <xf numFmtId="41" fontId="0" fillId="0" borderId="26" xfId="0" applyNumberFormat="1" applyFont="1" applyBorder="1" applyAlignment="1">
      <alignment horizontal="right" vertical="center" wrapText="1"/>
    </xf>
    <xf numFmtId="41" fontId="0" fillId="0" borderId="26" xfId="42" applyNumberFormat="1" applyFont="1" applyBorder="1" applyAlignment="1">
      <alignment horizontal="right" vertical="center" wrapText="1"/>
    </xf>
    <xf numFmtId="41" fontId="23" fillId="0" borderId="26" xfId="0" applyNumberFormat="1" applyFont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22" xfId="42" applyNumberFormat="1" applyFont="1" applyFill="1" applyBorder="1" applyAlignment="1">
      <alignment horizontal="right" vertical="center" wrapText="1"/>
    </xf>
    <xf numFmtId="41" fontId="0" fillId="0" borderId="25" xfId="42" applyNumberFormat="1" applyFont="1" applyFill="1" applyBorder="1" applyAlignment="1">
      <alignment horizontal="right" vertical="center" wrapText="1"/>
    </xf>
    <xf numFmtId="41" fontId="0" fillId="0" borderId="25" xfId="42" applyNumberFormat="1" applyFont="1" applyBorder="1" applyAlignment="1">
      <alignment horizontal="right" vertical="center" wrapText="1"/>
    </xf>
    <xf numFmtId="41" fontId="0" fillId="0" borderId="26" xfId="42" applyNumberFormat="1" applyFont="1" applyFill="1" applyBorder="1" applyAlignment="1">
      <alignment horizontal="right" vertical="center" wrapText="1"/>
    </xf>
    <xf numFmtId="41" fontId="0" fillId="0" borderId="26" xfId="42" applyNumberFormat="1" applyFont="1" applyBorder="1" applyAlignment="1">
      <alignment horizontal="right" vertical="center" wrapText="1"/>
    </xf>
    <xf numFmtId="41" fontId="0" fillId="0" borderId="10" xfId="42" applyNumberFormat="1" applyFont="1" applyFill="1" applyBorder="1" applyAlignment="1">
      <alignment horizontal="right" vertical="center" wrapText="1"/>
    </xf>
    <xf numFmtId="41" fontId="0" fillId="0" borderId="10" xfId="42" applyNumberFormat="1" applyFont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22" xfId="42" applyNumberFormat="1" applyFont="1" applyFill="1" applyBorder="1" applyAlignment="1">
      <alignment horizontal="right" vertical="center" wrapText="1"/>
    </xf>
    <xf numFmtId="41" fontId="0" fillId="0" borderId="22" xfId="0" applyNumberFormat="1" applyFont="1" applyBorder="1" applyAlignment="1">
      <alignment horizontal="right" vertical="center" wrapText="1"/>
    </xf>
    <xf numFmtId="41" fontId="0" fillId="0" borderId="25" xfId="42" applyNumberFormat="1" applyFont="1" applyFill="1" applyBorder="1" applyAlignment="1">
      <alignment horizontal="right" vertical="center" wrapText="1"/>
    </xf>
    <xf numFmtId="41" fontId="0" fillId="0" borderId="25" xfId="0" applyNumberFormat="1" applyFont="1" applyBorder="1" applyAlignment="1">
      <alignment horizontal="right" vertical="center" wrapText="1"/>
    </xf>
    <xf numFmtId="41" fontId="0" fillId="0" borderId="23" xfId="42" applyNumberFormat="1" applyFont="1" applyFill="1" applyBorder="1" applyAlignment="1">
      <alignment horizontal="right" vertical="center" wrapText="1"/>
    </xf>
    <xf numFmtId="41" fontId="0" fillId="0" borderId="23" xfId="42" applyNumberFormat="1" applyFont="1" applyBorder="1" applyAlignment="1">
      <alignment horizontal="right" vertical="center" wrapText="1"/>
    </xf>
    <xf numFmtId="41" fontId="0" fillId="0" borderId="23" xfId="0" applyNumberFormat="1" applyFont="1" applyBorder="1" applyAlignment="1">
      <alignment horizontal="right" vertical="center" wrapText="1"/>
    </xf>
    <xf numFmtId="41" fontId="23" fillId="0" borderId="14" xfId="0" applyNumberFormat="1" applyFont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4" xfId="0" applyNumberFormat="1" applyFont="1" applyBorder="1" applyAlignment="1">
      <alignment horizontal="right" vertical="center" wrapText="1"/>
    </xf>
    <xf numFmtId="41" fontId="25" fillId="0" borderId="25" xfId="0" applyNumberFormat="1" applyFont="1" applyFill="1" applyBorder="1" applyAlignment="1">
      <alignment horizontal="left" vertical="top" wrapText="1"/>
    </xf>
    <xf numFmtId="41" fontId="0" fillId="0" borderId="25" xfId="0" applyNumberFormat="1" applyFont="1" applyFill="1" applyBorder="1" applyAlignment="1">
      <alignment horizontal="right" vertical="center" wrapText="1"/>
    </xf>
    <xf numFmtId="41" fontId="25" fillId="0" borderId="12" xfId="0" applyNumberFormat="1" applyFont="1" applyBorder="1" applyAlignment="1">
      <alignment horizontal="left" vertical="top" wrapText="1"/>
    </xf>
    <xf numFmtId="41" fontId="0" fillId="0" borderId="12" xfId="0" applyNumberFormat="1" applyFont="1" applyBorder="1" applyAlignment="1">
      <alignment horizontal="right" vertical="center" wrapText="1"/>
    </xf>
    <xf numFmtId="41" fontId="0" fillId="0" borderId="12" xfId="42" applyNumberFormat="1" applyFont="1" applyBorder="1" applyAlignment="1">
      <alignment horizontal="right" vertical="center" wrapText="1"/>
    </xf>
    <xf numFmtId="41" fontId="0" fillId="0" borderId="12" xfId="42" applyNumberFormat="1" applyFont="1" applyBorder="1" applyAlignment="1">
      <alignment horizontal="right" vertical="center" wrapText="1"/>
    </xf>
    <xf numFmtId="41" fontId="0" fillId="0" borderId="12" xfId="0" applyNumberFormat="1" applyFont="1" applyBorder="1" applyAlignment="1">
      <alignment horizontal="right" vertical="center" wrapText="1"/>
    </xf>
    <xf numFmtId="41" fontId="23" fillId="0" borderId="12" xfId="0" applyNumberFormat="1" applyFont="1" applyBorder="1" applyAlignment="1">
      <alignment horizontal="right" vertical="center" wrapText="1"/>
    </xf>
    <xf numFmtId="41" fontId="0" fillId="0" borderId="10" xfId="42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 wrapText="1"/>
    </xf>
    <xf numFmtId="41" fontId="0" fillId="0" borderId="25" xfId="0" applyNumberFormat="1" applyFont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 wrapText="1"/>
    </xf>
    <xf numFmtId="41" fontId="0" fillId="0" borderId="23" xfId="0" applyNumberFormat="1" applyFont="1" applyBorder="1" applyAlignment="1">
      <alignment horizontal="right" vertical="center" wrapText="1"/>
    </xf>
    <xf numFmtId="41" fontId="0" fillId="0" borderId="23" xfId="0" applyNumberFormat="1" applyFont="1" applyBorder="1" applyAlignment="1">
      <alignment horizontal="right" vertical="center"/>
    </xf>
    <xf numFmtId="41" fontId="0" fillId="0" borderId="23" xfId="42" applyNumberFormat="1" applyFont="1" applyBorder="1" applyAlignment="1">
      <alignment horizontal="right" vertical="center" wrapText="1"/>
    </xf>
    <xf numFmtId="41" fontId="0" fillId="0" borderId="23" xfId="0" applyNumberFormat="1" applyFont="1" applyFill="1" applyBorder="1" applyAlignment="1">
      <alignment horizontal="right" vertical="center" wrapText="1"/>
    </xf>
    <xf numFmtId="41" fontId="0" fillId="0" borderId="14" xfId="0" applyNumberFormat="1" applyFont="1" applyFill="1" applyBorder="1" applyAlignment="1">
      <alignment horizontal="right" vertical="center" wrapText="1"/>
    </xf>
    <xf numFmtId="41" fontId="0" fillId="0" borderId="14" xfId="42" applyNumberFormat="1" applyFont="1" applyFill="1" applyBorder="1" applyAlignment="1">
      <alignment horizontal="right" vertical="center" wrapText="1"/>
    </xf>
    <xf numFmtId="41" fontId="25" fillId="0" borderId="10" xfId="0" applyNumberFormat="1" applyFont="1" applyFill="1" applyBorder="1" applyAlignment="1">
      <alignment horizontal="left" vertical="center"/>
    </xf>
    <xf numFmtId="41" fontId="0" fillId="0" borderId="10" xfId="0" applyNumberFormat="1" applyFont="1" applyFill="1" applyBorder="1" applyAlignment="1">
      <alignment horizontal="right" vertical="center" wrapText="1"/>
    </xf>
    <xf numFmtId="41" fontId="25" fillId="0" borderId="10" xfId="0" applyNumberFormat="1" applyFont="1" applyBorder="1" applyAlignment="1">
      <alignment horizontal="left" vertical="center"/>
    </xf>
    <xf numFmtId="41" fontId="25" fillId="0" borderId="10" xfId="0" applyNumberFormat="1" applyFont="1" applyBorder="1" applyAlignment="1">
      <alignment horizontal="left" vertical="top"/>
    </xf>
    <xf numFmtId="41" fontId="23" fillId="0" borderId="12" xfId="42" applyNumberFormat="1" applyFont="1" applyBorder="1" applyAlignment="1">
      <alignment horizontal="right" vertical="center" wrapText="1"/>
    </xf>
    <xf numFmtId="41" fontId="0" fillId="0" borderId="12" xfId="0" applyNumberFormat="1" applyFont="1" applyFill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4" xfId="0" applyNumberFormat="1" applyFont="1" applyFill="1" applyBorder="1" applyAlignment="1">
      <alignment horizontal="right" vertical="center" wrapText="1"/>
    </xf>
    <xf numFmtId="41" fontId="0" fillId="0" borderId="10" xfId="42" applyNumberFormat="1" applyFont="1" applyBorder="1" applyAlignment="1">
      <alignment horizontal="right" vertical="center" wrapText="1"/>
    </xf>
    <xf numFmtId="41" fontId="0" fillId="0" borderId="10" xfId="0" applyNumberFormat="1" applyFont="1" applyFill="1" applyBorder="1" applyAlignment="1">
      <alignment horizontal="right" vertical="center" wrapText="1"/>
    </xf>
    <xf numFmtId="41" fontId="0" fillId="0" borderId="22" xfId="0" applyNumberFormat="1" applyFont="1" applyFill="1" applyBorder="1" applyAlignment="1">
      <alignment horizontal="right" vertical="center" wrapText="1"/>
    </xf>
    <xf numFmtId="41" fontId="0" fillId="0" borderId="26" xfId="0" applyNumberFormat="1" applyFont="1" applyBorder="1" applyAlignment="1">
      <alignment horizontal="right" vertical="center" wrapText="1"/>
    </xf>
    <xf numFmtId="41" fontId="0" fillId="0" borderId="26" xfId="0" applyNumberFormat="1" applyFont="1" applyFill="1" applyBorder="1" applyAlignment="1">
      <alignment horizontal="right" vertical="center" wrapText="1"/>
    </xf>
    <xf numFmtId="41" fontId="0" fillId="0" borderId="25" xfId="0" applyNumberFormat="1" applyFont="1" applyFill="1" applyBorder="1" applyAlignment="1">
      <alignment horizontal="right" vertical="center" wrapText="1"/>
    </xf>
    <xf numFmtId="41" fontId="0" fillId="0" borderId="23" xfId="0" applyNumberFormat="1" applyFont="1" applyFill="1" applyBorder="1" applyAlignment="1">
      <alignment horizontal="right" vertical="center" wrapText="1"/>
    </xf>
    <xf numFmtId="41" fontId="25" fillId="0" borderId="10" xfId="0" applyNumberFormat="1" applyFont="1" applyBorder="1" applyAlignment="1">
      <alignment horizontal="left" vertical="top" wrapText="1"/>
    </xf>
    <xf numFmtId="41" fontId="23" fillId="0" borderId="10" xfId="0" applyNumberFormat="1" applyFont="1" applyBorder="1" applyAlignment="1">
      <alignment horizontal="right" vertical="center" wrapText="1"/>
    </xf>
    <xf numFmtId="41" fontId="25" fillId="0" borderId="14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41" fontId="25" fillId="0" borderId="25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41" fontId="25" fillId="0" borderId="22" xfId="0" applyNumberFormat="1" applyFont="1" applyFill="1" applyBorder="1" applyAlignment="1">
      <alignment horizontal="left" vertical="top" wrapText="1"/>
    </xf>
    <xf numFmtId="41" fontId="25" fillId="0" borderId="25" xfId="0" applyNumberFormat="1" applyFont="1" applyFill="1" applyBorder="1" applyAlignment="1">
      <alignment horizontal="left" vertical="top" wrapText="1"/>
    </xf>
    <xf numFmtId="41" fontId="25" fillId="0" borderId="26" xfId="0" applyNumberFormat="1" applyFont="1" applyFill="1" applyBorder="1" applyAlignment="1">
      <alignment horizontal="left" vertical="top" wrapText="1"/>
    </xf>
    <xf numFmtId="41" fontId="25" fillId="0" borderId="10" xfId="0" applyNumberFormat="1" applyFont="1" applyFill="1" applyBorder="1" applyAlignment="1">
      <alignment horizontal="left" vertical="top" wrapText="1"/>
    </xf>
    <xf numFmtId="41" fontId="25" fillId="0" borderId="23" xfId="0" applyNumberFormat="1" applyFont="1" applyBorder="1" applyAlignment="1">
      <alignment horizontal="left" vertical="top" wrapText="1"/>
    </xf>
    <xf numFmtId="41" fontId="24" fillId="0" borderId="12" xfId="0" applyNumberFormat="1" applyFont="1" applyBorder="1" applyAlignment="1">
      <alignment horizontal="left" vertical="top" wrapText="1"/>
    </xf>
    <xf numFmtId="41" fontId="24" fillId="0" borderId="10" xfId="0" applyNumberFormat="1" applyFont="1" applyBorder="1" applyAlignment="1">
      <alignment horizontal="left" wrapText="1"/>
    </xf>
    <xf numFmtId="41" fontId="25" fillId="0" borderId="14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1" fontId="25" fillId="0" borderId="28" xfId="0" applyNumberFormat="1" applyFont="1" applyBorder="1" applyAlignment="1">
      <alignment horizontal="left" vertical="top" wrapText="1"/>
    </xf>
    <xf numFmtId="41" fontId="0" fillId="0" borderId="28" xfId="0" applyNumberFormat="1" applyFont="1" applyBorder="1" applyAlignment="1">
      <alignment horizontal="right" vertical="center" wrapText="1"/>
    </xf>
    <xf numFmtId="41" fontId="0" fillId="0" borderId="28" xfId="0" applyNumberFormat="1" applyFont="1" applyBorder="1" applyAlignment="1">
      <alignment horizontal="right" vertical="center"/>
    </xf>
    <xf numFmtId="41" fontId="0" fillId="0" borderId="28" xfId="42" applyNumberFormat="1" applyFont="1" applyBorder="1" applyAlignment="1">
      <alignment horizontal="right" vertical="center" wrapText="1"/>
    </xf>
    <xf numFmtId="41" fontId="0" fillId="0" borderId="28" xfId="0" applyNumberFormat="1" applyFont="1" applyFill="1" applyBorder="1" applyAlignment="1">
      <alignment horizontal="right" vertical="center" wrapText="1"/>
    </xf>
    <xf numFmtId="181" fontId="25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41" fontId="25" fillId="0" borderId="28" xfId="0" applyNumberFormat="1" applyFont="1" applyFill="1" applyBorder="1" applyAlignment="1">
      <alignment horizontal="left" vertical="top" wrapText="1"/>
    </xf>
    <xf numFmtId="41" fontId="0" fillId="0" borderId="28" xfId="0" applyNumberFormat="1" applyFont="1" applyFill="1" applyBorder="1" applyAlignment="1">
      <alignment horizontal="right" vertical="center" wrapText="1"/>
    </xf>
    <xf numFmtId="41" fontId="0" fillId="0" borderId="28" xfId="0" applyNumberFormat="1" applyFont="1" applyBorder="1" applyAlignment="1">
      <alignment horizontal="right" vertical="center" wrapText="1"/>
    </xf>
    <xf numFmtId="41" fontId="26" fillId="0" borderId="22" xfId="42" applyNumberFormat="1" applyFont="1" applyBorder="1" applyAlignment="1">
      <alignment horizontal="right" vertical="center" wrapText="1"/>
    </xf>
    <xf numFmtId="41" fontId="26" fillId="0" borderId="25" xfId="42" applyNumberFormat="1" applyFont="1" applyBorder="1" applyAlignment="1">
      <alignment horizontal="right" vertical="center" wrapText="1"/>
    </xf>
    <xf numFmtId="41" fontId="0" fillId="0" borderId="26" xfId="0" applyNumberFormat="1" applyFont="1" applyFill="1" applyBorder="1" applyAlignment="1">
      <alignment horizontal="right" vertical="center" wrapText="1"/>
    </xf>
    <xf numFmtId="41" fontId="26" fillId="0" borderId="22" xfId="0" applyNumberFormat="1" applyFont="1" applyFill="1" applyBorder="1" applyAlignment="1">
      <alignment horizontal="right" vertical="center" wrapText="1"/>
    </xf>
    <xf numFmtId="41" fontId="26" fillId="0" borderId="22" xfId="42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center"/>
    </xf>
    <xf numFmtId="41" fontId="24" fillId="7" borderId="29" xfId="0" applyNumberFormat="1" applyFont="1" applyFill="1" applyBorder="1" applyAlignment="1">
      <alignment horizontal="right" vertical="center" wrapText="1"/>
    </xf>
    <xf numFmtId="41" fontId="25" fillId="7" borderId="14" xfId="0" applyNumberFormat="1" applyFont="1" applyFill="1" applyBorder="1" applyAlignment="1">
      <alignment horizontal="right" vertical="center" wrapText="1"/>
    </xf>
    <xf numFmtId="41" fontId="25" fillId="7" borderId="12" xfId="0" applyNumberFormat="1" applyFont="1" applyFill="1" applyBorder="1" applyAlignment="1">
      <alignment horizontal="right" vertical="center" wrapText="1"/>
    </xf>
    <xf numFmtId="41" fontId="25" fillId="7" borderId="22" xfId="0" applyNumberFormat="1" applyFont="1" applyFill="1" applyBorder="1" applyAlignment="1">
      <alignment horizontal="right" vertical="center" wrapText="1"/>
    </xf>
    <xf numFmtId="41" fontId="25" fillId="7" borderId="28" xfId="0" applyNumberFormat="1" applyFont="1" applyFill="1" applyBorder="1" applyAlignment="1">
      <alignment horizontal="right" vertical="center" wrapText="1"/>
    </xf>
    <xf numFmtId="41" fontId="25" fillId="7" borderId="13" xfId="0" applyNumberFormat="1" applyFont="1" applyFill="1" applyBorder="1" applyAlignment="1">
      <alignment horizontal="right" vertical="center" wrapText="1"/>
    </xf>
    <xf numFmtId="41" fontId="25" fillId="7" borderId="23" xfId="0" applyNumberFormat="1" applyFont="1" applyFill="1" applyBorder="1" applyAlignment="1">
      <alignment horizontal="right" vertical="center" wrapText="1"/>
    </xf>
    <xf numFmtId="41" fontId="25" fillId="7" borderId="18" xfId="0" applyNumberFormat="1" applyFont="1" applyFill="1" applyBorder="1" applyAlignment="1">
      <alignment horizontal="right" vertical="center" wrapText="1"/>
    </xf>
    <xf numFmtId="41" fontId="25" fillId="7" borderId="24" xfId="0" applyNumberFormat="1" applyFont="1" applyFill="1" applyBorder="1" applyAlignment="1">
      <alignment horizontal="right" vertical="center" wrapText="1"/>
    </xf>
    <xf numFmtId="41" fontId="25" fillId="7" borderId="25" xfId="0" applyNumberFormat="1" applyFont="1" applyFill="1" applyBorder="1" applyAlignment="1">
      <alignment horizontal="right" vertical="center" wrapText="1"/>
    </xf>
    <xf numFmtId="41" fontId="25" fillId="7" borderId="26" xfId="0" applyNumberFormat="1" applyFont="1" applyFill="1" applyBorder="1" applyAlignment="1">
      <alignment horizontal="right" vertical="center" wrapText="1"/>
    </xf>
    <xf numFmtId="41" fontId="25" fillId="7" borderId="10" xfId="0" applyNumberFormat="1" applyFont="1" applyFill="1" applyBorder="1" applyAlignment="1">
      <alignment horizontal="right" vertical="center" wrapText="1"/>
    </xf>
    <xf numFmtId="41" fontId="24" fillId="7" borderId="12" xfId="0" applyNumberFormat="1" applyFont="1" applyFill="1" applyBorder="1" applyAlignment="1">
      <alignment horizontal="right" vertical="center" wrapText="1"/>
    </xf>
    <xf numFmtId="41" fontId="24" fillId="7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3" fontId="21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Alignment="1">
      <alignment/>
    </xf>
    <xf numFmtId="41" fontId="0" fillId="0" borderId="24" xfId="0" applyNumberFormat="1" applyFont="1" applyBorder="1" applyAlignment="1">
      <alignment horizontal="right" vertical="center" wrapText="1"/>
    </xf>
    <xf numFmtId="41" fontId="26" fillId="0" borderId="10" xfId="42" applyNumberFormat="1" applyFont="1" applyBorder="1" applyAlignment="1">
      <alignment horizontal="right" vertical="center"/>
    </xf>
    <xf numFmtId="43" fontId="25" fillId="0" borderId="12" xfId="0" applyNumberFormat="1" applyFont="1" applyFill="1" applyBorder="1" applyAlignment="1">
      <alignment horizontal="right" vertical="top" wrapText="1"/>
    </xf>
    <xf numFmtId="41" fontId="25" fillId="0" borderId="12" xfId="0" applyNumberFormat="1" applyFont="1" applyFill="1" applyBorder="1" applyAlignment="1">
      <alignment horizontal="left" vertical="top" wrapText="1"/>
    </xf>
    <xf numFmtId="41" fontId="0" fillId="0" borderId="12" xfId="0" applyNumberFormat="1" applyFont="1" applyFill="1" applyBorder="1" applyAlignment="1">
      <alignment horizontal="right" vertical="center" wrapText="1"/>
    </xf>
    <xf numFmtId="43" fontId="25" fillId="0" borderId="13" xfId="0" applyNumberFormat="1" applyFont="1" applyFill="1" applyBorder="1" applyAlignment="1">
      <alignment horizontal="right" vertical="top" wrapText="1"/>
    </xf>
    <xf numFmtId="41" fontId="25" fillId="0" borderId="28" xfId="0" applyNumberFormat="1" applyFont="1" applyFill="1" applyBorder="1" applyAlignment="1">
      <alignment horizontal="left" vertical="top" wrapText="1"/>
    </xf>
    <xf numFmtId="41" fontId="26" fillId="0" borderId="28" xfId="42" applyNumberFormat="1" applyFont="1" applyFill="1" applyBorder="1" applyAlignment="1">
      <alignment horizontal="right" vertical="center" wrapText="1"/>
    </xf>
    <xf numFmtId="41" fontId="0" fillId="0" borderId="12" xfId="42" applyNumberFormat="1" applyFont="1" applyFill="1" applyBorder="1" applyAlignment="1">
      <alignment horizontal="right" vertical="center" wrapText="1"/>
    </xf>
    <xf numFmtId="41" fontId="0" fillId="0" borderId="28" xfId="42" applyNumberFormat="1" applyFont="1" applyFill="1" applyBorder="1" applyAlignment="1">
      <alignment horizontal="right" vertical="center" wrapText="1"/>
    </xf>
    <xf numFmtId="49" fontId="24" fillId="22" borderId="29" xfId="0" applyNumberFormat="1" applyFont="1" applyFill="1" applyBorder="1" applyAlignment="1">
      <alignment horizontal="center" vertical="top" wrapText="1"/>
    </xf>
    <xf numFmtId="49" fontId="25" fillId="22" borderId="29" xfId="0" applyNumberFormat="1" applyFont="1" applyFill="1" applyBorder="1" applyAlignment="1">
      <alignment horizontal="center" vertical="top" wrapText="1"/>
    </xf>
    <xf numFmtId="0" fontId="24" fillId="22" borderId="29" xfId="0" applyFont="1" applyFill="1" applyBorder="1" applyAlignment="1">
      <alignment vertical="top" wrapText="1"/>
    </xf>
    <xf numFmtId="43" fontId="25" fillId="22" borderId="29" xfId="0" applyNumberFormat="1" applyFont="1" applyFill="1" applyBorder="1" applyAlignment="1">
      <alignment horizontal="right" vertical="top" wrapText="1"/>
    </xf>
    <xf numFmtId="41" fontId="24" fillId="22" borderId="29" xfId="0" applyNumberFormat="1" applyFont="1" applyFill="1" applyBorder="1" applyAlignment="1">
      <alignment horizontal="left" vertical="top" wrapText="1"/>
    </xf>
    <xf numFmtId="41" fontId="23" fillId="22" borderId="29" xfId="0" applyNumberFormat="1" applyFont="1" applyFill="1" applyBorder="1" applyAlignment="1">
      <alignment horizontal="right" vertical="center" wrapText="1"/>
    </xf>
    <xf numFmtId="41" fontId="23" fillId="22" borderId="29" xfId="42" applyNumberFormat="1" applyFont="1" applyFill="1" applyBorder="1" applyAlignment="1">
      <alignment horizontal="right" vertical="center" wrapText="1"/>
    </xf>
    <xf numFmtId="49" fontId="24" fillId="22" borderId="29" xfId="0" applyNumberFormat="1" applyFont="1" applyFill="1" applyBorder="1" applyAlignment="1">
      <alignment horizontal="center" vertical="top" wrapText="1"/>
    </xf>
    <xf numFmtId="0" fontId="24" fillId="22" borderId="29" xfId="0" applyFont="1" applyFill="1" applyBorder="1" applyAlignment="1">
      <alignment vertical="top" wrapText="1"/>
    </xf>
    <xf numFmtId="43" fontId="24" fillId="22" borderId="29" xfId="0" applyNumberFormat="1" applyFont="1" applyFill="1" applyBorder="1" applyAlignment="1">
      <alignment horizontal="right" vertical="top" wrapText="1"/>
    </xf>
    <xf numFmtId="41" fontId="24" fillId="22" borderId="29" xfId="0" applyNumberFormat="1" applyFont="1" applyFill="1" applyBorder="1" applyAlignment="1">
      <alignment horizontal="left" vertical="top" wrapText="1"/>
    </xf>
    <xf numFmtId="41" fontId="23" fillId="22" borderId="29" xfId="0" applyNumberFormat="1" applyFont="1" applyFill="1" applyBorder="1" applyAlignment="1">
      <alignment horizontal="right" vertical="center" wrapText="1"/>
    </xf>
    <xf numFmtId="41" fontId="23" fillId="22" borderId="29" xfId="42" applyNumberFormat="1" applyFont="1" applyFill="1" applyBorder="1" applyAlignment="1">
      <alignment horizontal="right" vertical="center" wrapText="1"/>
    </xf>
    <xf numFmtId="43" fontId="24" fillId="22" borderId="29" xfId="0" applyNumberFormat="1" applyFont="1" applyFill="1" applyBorder="1" applyAlignment="1">
      <alignment horizontal="right" vertical="top" wrapText="1"/>
    </xf>
    <xf numFmtId="0" fontId="24" fillId="22" borderId="29" xfId="0" applyFont="1" applyFill="1" applyBorder="1" applyAlignment="1">
      <alignment horizontal="center" vertical="top" wrapText="1"/>
    </xf>
    <xf numFmtId="0" fontId="25" fillId="22" borderId="29" xfId="0" applyFont="1" applyFill="1" applyBorder="1" applyAlignment="1">
      <alignment horizontal="center" vertical="top" wrapText="1"/>
    </xf>
    <xf numFmtId="0" fontId="24" fillId="22" borderId="29" xfId="0" applyNumberFormat="1" applyFont="1" applyFill="1" applyBorder="1" applyAlignment="1">
      <alignment horizontal="center" vertical="center" wrapText="1"/>
    </xf>
    <xf numFmtId="0" fontId="24" fillId="22" borderId="29" xfId="0" applyNumberFormat="1" applyFont="1" applyFill="1" applyBorder="1" applyAlignment="1">
      <alignment horizontal="left" vertical="center" wrapText="1"/>
    </xf>
    <xf numFmtId="43" fontId="24" fillId="22" borderId="29" xfId="0" applyNumberFormat="1" applyFont="1" applyFill="1" applyBorder="1" applyAlignment="1">
      <alignment horizontal="center" vertical="center" wrapText="1"/>
    </xf>
    <xf numFmtId="41" fontId="24" fillId="22" borderId="29" xfId="0" applyNumberFormat="1" applyFont="1" applyFill="1" applyBorder="1" applyAlignment="1">
      <alignment horizontal="left" vertical="center" wrapText="1"/>
    </xf>
    <xf numFmtId="0" fontId="24" fillId="22" borderId="29" xfId="0" applyNumberFormat="1" applyFont="1" applyFill="1" applyBorder="1" applyAlignment="1">
      <alignment horizontal="center" vertical="center"/>
    </xf>
    <xf numFmtId="172" fontId="24" fillId="22" borderId="29" xfId="0" applyNumberFormat="1" applyFont="1" applyFill="1" applyBorder="1" applyAlignment="1">
      <alignment horizontal="right" vertical="center"/>
    </xf>
    <xf numFmtId="41" fontId="24" fillId="22" borderId="29" xfId="0" applyNumberFormat="1" applyFont="1" applyFill="1" applyBorder="1" applyAlignment="1">
      <alignment horizontal="left" vertical="center"/>
    </xf>
    <xf numFmtId="41" fontId="0" fillId="22" borderId="29" xfId="0" applyNumberFormat="1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left" vertical="top" wrapText="1"/>
    </xf>
    <xf numFmtId="0" fontId="24" fillId="22" borderId="29" xfId="0" applyFont="1" applyFill="1" applyBorder="1" applyAlignment="1">
      <alignment horizontal="left" vertical="top" wrapText="1"/>
    </xf>
    <xf numFmtId="41" fontId="25" fillId="0" borderId="30" xfId="0" applyNumberFormat="1" applyFont="1" applyBorder="1" applyAlignment="1">
      <alignment horizontal="left" vertical="top" wrapText="1"/>
    </xf>
    <xf numFmtId="41" fontId="25" fillId="7" borderId="30" xfId="0" applyNumberFormat="1" applyFont="1" applyFill="1" applyBorder="1" applyAlignment="1">
      <alignment horizontal="right" vertical="center" wrapText="1"/>
    </xf>
    <xf numFmtId="41" fontId="0" fillId="0" borderId="30" xfId="0" applyNumberFormat="1" applyFont="1" applyBorder="1" applyAlignment="1">
      <alignment horizontal="right" vertical="center" wrapText="1"/>
    </xf>
    <xf numFmtId="41" fontId="0" fillId="0" borderId="30" xfId="42" applyNumberFormat="1" applyFont="1" applyBorder="1" applyAlignment="1">
      <alignment horizontal="right" vertical="center" wrapText="1"/>
    </xf>
    <xf numFmtId="3" fontId="0" fillId="0" borderId="28" xfId="42" applyNumberFormat="1" applyFont="1" applyFill="1" applyBorder="1" applyAlignment="1">
      <alignment horizontal="right" vertical="center" wrapText="1"/>
    </xf>
    <xf numFmtId="41" fontId="25" fillId="7" borderId="22" xfId="0" applyNumberFormat="1" applyFont="1" applyFill="1" applyBorder="1" applyAlignment="1">
      <alignment horizontal="right" vertical="center" wrapText="1"/>
    </xf>
    <xf numFmtId="41" fontId="0" fillId="0" borderId="22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1" fontId="25" fillId="7" borderId="25" xfId="0" applyNumberFormat="1" applyFont="1" applyFill="1" applyBorder="1" applyAlignment="1">
      <alignment horizontal="right" vertical="center" wrapText="1"/>
    </xf>
    <xf numFmtId="41" fontId="0" fillId="0" borderId="25" xfId="42" applyNumberFormat="1" applyFont="1" applyFill="1" applyBorder="1" applyAlignment="1">
      <alignment horizontal="right" vertical="center" wrapText="1"/>
    </xf>
    <xf numFmtId="41" fontId="25" fillId="7" borderId="10" xfId="0" applyNumberFormat="1" applyFont="1" applyFill="1" applyBorder="1" applyAlignment="1">
      <alignment horizontal="right" vertical="center" wrapText="1"/>
    </xf>
    <xf numFmtId="41" fontId="25" fillId="7" borderId="26" xfId="0" applyNumberFormat="1" applyFont="1" applyFill="1" applyBorder="1" applyAlignment="1">
      <alignment horizontal="right" vertical="center" wrapText="1"/>
    </xf>
    <xf numFmtId="41" fontId="0" fillId="0" borderId="26" xfId="42" applyNumberFormat="1" applyFont="1" applyFill="1" applyBorder="1" applyAlignment="1">
      <alignment horizontal="right" vertical="center" wrapText="1"/>
    </xf>
    <xf numFmtId="41" fontId="0" fillId="0" borderId="26" xfId="42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left" vertical="top"/>
    </xf>
    <xf numFmtId="0" fontId="25" fillId="0" borderId="16" xfId="0" applyNumberFormat="1" applyFont="1" applyBorder="1" applyAlignment="1">
      <alignment horizontal="left" vertical="top"/>
    </xf>
    <xf numFmtId="0" fontId="24" fillId="0" borderId="15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21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5" fillId="0" borderId="16" xfId="0" applyNumberFormat="1" applyFont="1" applyBorder="1" applyAlignment="1">
      <alignment horizontal="left" vertical="top" wrapText="1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9" fontId="25" fillId="0" borderId="15" xfId="0" applyNumberFormat="1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6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3" fillId="0" borderId="35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12" xfId="0" applyFont="1" applyBorder="1" applyAlignment="1">
      <alignment horizontal="center" textRotation="90"/>
    </xf>
    <xf numFmtId="0" fontId="23" fillId="0" borderId="13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32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23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3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3" fontId="23" fillId="7" borderId="12" xfId="0" applyNumberFormat="1" applyFont="1" applyFill="1" applyBorder="1" applyAlignment="1">
      <alignment horizontal="center" vertical="center" textRotation="90" wrapText="1"/>
    </xf>
    <xf numFmtId="3" fontId="23" fillId="7" borderId="13" xfId="0" applyNumberFormat="1" applyFont="1" applyFill="1" applyBorder="1" applyAlignment="1">
      <alignment/>
    </xf>
    <xf numFmtId="3" fontId="23" fillId="7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5" fillId="0" borderId="12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5"/>
  <sheetViews>
    <sheetView tabSelected="1" view="pageBreakPreview" zoomScale="96" zoomScaleSheetLayoutView="96" zoomScalePageLayoutView="0" workbookViewId="0" topLeftCell="A2">
      <pane ySplit="8" topLeftCell="A194" activePane="bottomLeft" state="frozen"/>
      <selection pane="topLeft" activeCell="A4" sqref="A4"/>
      <selection pane="bottomLeft" activeCell="B202" sqref="B202"/>
    </sheetView>
  </sheetViews>
  <sheetFormatPr defaultColWidth="9.00390625" defaultRowHeight="12.75"/>
  <cols>
    <col min="1" max="1" width="4.875" style="1" customWidth="1"/>
    <col min="2" max="2" width="6.625" style="1" customWidth="1"/>
    <col min="3" max="3" width="17.75390625" style="0" customWidth="1"/>
    <col min="4" max="4" width="15.75390625" style="2" hidden="1" customWidth="1"/>
    <col min="5" max="5" width="12.375" style="2" customWidth="1"/>
    <col min="6" max="6" width="13.375" style="249" customWidth="1"/>
    <col min="7" max="7" width="14.625" style="0" customWidth="1"/>
    <col min="8" max="8" width="13.625" style="0" customWidth="1"/>
    <col min="9" max="9" width="14.25390625" style="0" customWidth="1"/>
    <col min="10" max="10" width="16.125" style="0" customWidth="1"/>
    <col min="11" max="11" width="14.25390625" style="0" customWidth="1"/>
    <col min="12" max="12" width="13.875" style="0" customWidth="1"/>
    <col min="13" max="13" width="13.00390625" style="0" customWidth="1"/>
    <col min="14" max="14" width="15.25390625" style="0" customWidth="1"/>
    <col min="15" max="15" width="12.375" style="0" customWidth="1"/>
    <col min="16" max="16" width="12.75390625" style="0" customWidth="1"/>
    <col min="17" max="17" width="12.00390625" style="0" bestFit="1" customWidth="1"/>
    <col min="18" max="18" width="12.375" style="0" bestFit="1" customWidth="1"/>
  </cols>
  <sheetData>
    <row r="1" ht="12.75" hidden="1"/>
    <row r="2" spans="10:18" ht="12.75" customHeight="1">
      <c r="J2" s="3"/>
      <c r="K2" s="3"/>
      <c r="L2" s="3"/>
      <c r="M2" s="3"/>
      <c r="N2" s="345" t="s">
        <v>0</v>
      </c>
      <c r="O2" s="345"/>
      <c r="P2" s="345"/>
      <c r="Q2" s="345"/>
      <c r="R2" s="345"/>
    </row>
    <row r="3" spans="3:18" ht="15.75" customHeight="1">
      <c r="C3" s="71"/>
      <c r="D3" s="71"/>
      <c r="E3" s="71"/>
      <c r="G3" s="71"/>
      <c r="J3" s="4"/>
      <c r="K3" s="4"/>
      <c r="L3" s="4"/>
      <c r="M3" s="4"/>
      <c r="N3" s="346"/>
      <c r="O3" s="346"/>
      <c r="P3" s="346"/>
      <c r="Q3" s="346"/>
      <c r="R3" s="346"/>
    </row>
    <row r="4" spans="1:18" ht="32.25" customHeight="1">
      <c r="A4" s="349" t="s">
        <v>157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6" customFormat="1" ht="15">
      <c r="A5" s="5"/>
      <c r="B5" s="5"/>
      <c r="C5" s="29"/>
      <c r="D5" s="29"/>
      <c r="E5" s="29"/>
      <c r="F5" s="250"/>
      <c r="G5" s="30"/>
      <c r="H5" s="31"/>
      <c r="I5" s="31"/>
      <c r="J5" s="31"/>
      <c r="K5" s="30"/>
      <c r="L5" s="30"/>
      <c r="M5" s="31"/>
      <c r="N5" s="31"/>
      <c r="O5" s="31"/>
      <c r="P5" s="31"/>
      <c r="Q5" s="30"/>
      <c r="R5" s="30"/>
    </row>
    <row r="6" spans="1:18" ht="29.25" customHeight="1">
      <c r="A6" s="351" t="s">
        <v>1</v>
      </c>
      <c r="B6" s="351" t="s">
        <v>2</v>
      </c>
      <c r="C6" s="351" t="s">
        <v>3</v>
      </c>
      <c r="D6" s="364" t="s">
        <v>4</v>
      </c>
      <c r="E6" s="370" t="s">
        <v>159</v>
      </c>
      <c r="F6" s="373" t="s">
        <v>168</v>
      </c>
      <c r="G6" s="360" t="s">
        <v>49</v>
      </c>
      <c r="H6" s="347" t="s">
        <v>46</v>
      </c>
      <c r="I6" s="347"/>
      <c r="J6" s="347"/>
      <c r="K6" s="347"/>
      <c r="L6" s="347"/>
      <c r="M6" s="347"/>
      <c r="N6" s="347"/>
      <c r="O6" s="347"/>
      <c r="P6" s="347"/>
      <c r="Q6" s="347"/>
      <c r="R6" s="348"/>
    </row>
    <row r="7" spans="1:18" ht="29.25" customHeight="1">
      <c r="A7" s="352"/>
      <c r="B7" s="352"/>
      <c r="C7" s="352"/>
      <c r="D7" s="361"/>
      <c r="E7" s="371"/>
      <c r="F7" s="374"/>
      <c r="G7" s="361"/>
      <c r="H7" s="364" t="s">
        <v>5</v>
      </c>
      <c r="I7" s="360" t="s">
        <v>135</v>
      </c>
      <c r="J7" s="347" t="s">
        <v>46</v>
      </c>
      <c r="K7" s="347"/>
      <c r="L7" s="347"/>
      <c r="M7" s="347"/>
      <c r="N7" s="347"/>
      <c r="O7" s="347"/>
      <c r="P7" s="347"/>
      <c r="Q7" s="347"/>
      <c r="R7" s="348"/>
    </row>
    <row r="8" spans="1:18" ht="61.5" customHeight="1">
      <c r="A8" s="353"/>
      <c r="B8" s="358"/>
      <c r="C8" s="358"/>
      <c r="D8" s="365"/>
      <c r="E8" s="371"/>
      <c r="F8" s="374"/>
      <c r="G8" s="362"/>
      <c r="H8" s="361"/>
      <c r="I8" s="367"/>
      <c r="J8" s="377" t="s">
        <v>41</v>
      </c>
      <c r="K8" s="378"/>
      <c r="L8" s="364" t="s">
        <v>44</v>
      </c>
      <c r="M8" s="364" t="s">
        <v>45</v>
      </c>
      <c r="N8" s="355" t="s">
        <v>6</v>
      </c>
      <c r="O8" s="356"/>
      <c r="P8" s="357"/>
      <c r="Q8" s="364" t="s">
        <v>47</v>
      </c>
      <c r="R8" s="364" t="s">
        <v>48</v>
      </c>
    </row>
    <row r="9" spans="1:18" s="8" customFormat="1" ht="96" customHeight="1">
      <c r="A9" s="354"/>
      <c r="B9" s="359"/>
      <c r="C9" s="359"/>
      <c r="D9" s="366"/>
      <c r="E9" s="372"/>
      <c r="F9" s="375"/>
      <c r="G9" s="363"/>
      <c r="H9" s="369"/>
      <c r="I9" s="368"/>
      <c r="J9" s="7" t="s">
        <v>42</v>
      </c>
      <c r="K9" s="7" t="s">
        <v>43</v>
      </c>
      <c r="L9" s="366"/>
      <c r="M9" s="376"/>
      <c r="N9" s="7" t="s">
        <v>42</v>
      </c>
      <c r="O9" s="7" t="s">
        <v>7</v>
      </c>
      <c r="P9" s="7" t="s">
        <v>134</v>
      </c>
      <c r="Q9" s="376"/>
      <c r="R9" s="376"/>
    </row>
    <row r="10" spans="1:18" s="1" customFormat="1" ht="13.5" thickBot="1">
      <c r="A10" s="43">
        <v>1</v>
      </c>
      <c r="B10" s="43">
        <v>2</v>
      </c>
      <c r="C10" s="43">
        <v>3</v>
      </c>
      <c r="D10" s="43">
        <v>5</v>
      </c>
      <c r="E10" s="202"/>
      <c r="F10" s="234"/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43">
        <v>13</v>
      </c>
      <c r="Q10" s="43">
        <v>14</v>
      </c>
      <c r="R10" s="43">
        <v>15</v>
      </c>
    </row>
    <row r="11" spans="1:18" s="9" customFormat="1" ht="20.25" customHeight="1" thickBot="1">
      <c r="A11" s="262" t="s">
        <v>50</v>
      </c>
      <c r="B11" s="263"/>
      <c r="C11" s="264" t="s">
        <v>51</v>
      </c>
      <c r="D11" s="265">
        <v>10000</v>
      </c>
      <c r="E11" s="266"/>
      <c r="F11" s="235">
        <f>F12+F13</f>
        <v>438592</v>
      </c>
      <c r="G11" s="267">
        <f>G12+G13</f>
        <v>261896</v>
      </c>
      <c r="H11" s="267"/>
      <c r="I11" s="267">
        <f>I12+I13</f>
        <v>261896</v>
      </c>
      <c r="J11" s="268"/>
      <c r="K11" s="268">
        <f>K12+K13</f>
        <v>0</v>
      </c>
      <c r="L11" s="268">
        <f>L12+L13</f>
        <v>158866</v>
      </c>
      <c r="M11" s="267">
        <f>M12+M13</f>
        <v>103030</v>
      </c>
      <c r="N11" s="267"/>
      <c r="O11" s="267"/>
      <c r="P11" s="267"/>
      <c r="Q11" s="267"/>
      <c r="R11" s="267"/>
    </row>
    <row r="12" spans="1:18" ht="20.25" customHeight="1">
      <c r="A12" s="329" t="s">
        <v>8</v>
      </c>
      <c r="B12" s="59" t="s">
        <v>52</v>
      </c>
      <c r="C12" s="58" t="s">
        <v>53</v>
      </c>
      <c r="D12" s="45">
        <v>117028.25</v>
      </c>
      <c r="E12" s="94" t="s">
        <v>142</v>
      </c>
      <c r="F12" s="236">
        <v>279725</v>
      </c>
      <c r="G12" s="95">
        <f>H12+I12</f>
        <v>103030</v>
      </c>
      <c r="H12" s="95"/>
      <c r="I12" s="95">
        <f>SUM(J12:R12)</f>
        <v>103030</v>
      </c>
      <c r="J12" s="96"/>
      <c r="K12" s="97"/>
      <c r="L12" s="98"/>
      <c r="M12" s="98">
        <v>103030</v>
      </c>
      <c r="N12" s="98"/>
      <c r="O12" s="98"/>
      <c r="P12" s="98"/>
      <c r="Q12" s="98"/>
      <c r="R12" s="98"/>
    </row>
    <row r="13" spans="1:18" ht="27.75" customHeight="1" thickBot="1">
      <c r="A13" s="329"/>
      <c r="B13" s="42" t="s">
        <v>54</v>
      </c>
      <c r="C13" s="60" t="s">
        <v>55</v>
      </c>
      <c r="D13" s="48"/>
      <c r="E13" s="99" t="s">
        <v>142</v>
      </c>
      <c r="F13" s="237">
        <v>158867</v>
      </c>
      <c r="G13" s="95">
        <f>H13+I13</f>
        <v>158866</v>
      </c>
      <c r="H13" s="100"/>
      <c r="I13" s="95">
        <f>SUM(J13:R13)</f>
        <v>158866</v>
      </c>
      <c r="J13" s="101"/>
      <c r="K13" s="101"/>
      <c r="L13" s="102">
        <v>158866</v>
      </c>
      <c r="M13" s="102"/>
      <c r="N13" s="102"/>
      <c r="O13" s="102"/>
      <c r="P13" s="102"/>
      <c r="Q13" s="102"/>
      <c r="R13" s="102"/>
    </row>
    <row r="14" spans="1:18" s="9" customFormat="1" ht="24.75" thickBot="1">
      <c r="A14" s="269">
        <v>600</v>
      </c>
      <c r="B14" s="263"/>
      <c r="C14" s="270" t="s">
        <v>10</v>
      </c>
      <c r="D14" s="271">
        <f>SUM(D15:D16)</f>
        <v>1413990.75</v>
      </c>
      <c r="E14" s="272"/>
      <c r="F14" s="235">
        <f>F15+F16</f>
        <v>50453260</v>
      </c>
      <c r="G14" s="273">
        <f>G15+G16</f>
        <v>34539747</v>
      </c>
      <c r="H14" s="273">
        <f>H16</f>
        <v>23314482</v>
      </c>
      <c r="I14" s="273">
        <f>I15+I16</f>
        <v>11225265</v>
      </c>
      <c r="J14" s="273">
        <f>J15+J16</f>
        <v>1111386</v>
      </c>
      <c r="K14" s="274">
        <f>K15+K16</f>
        <v>7512352</v>
      </c>
      <c r="L14" s="274">
        <f>L16</f>
        <v>2582827</v>
      </c>
      <c r="M14" s="273">
        <f>M15+M16</f>
        <v>18700</v>
      </c>
      <c r="N14" s="273"/>
      <c r="O14" s="273"/>
      <c r="P14" s="273"/>
      <c r="Q14" s="273"/>
      <c r="R14" s="273"/>
    </row>
    <row r="15" spans="1:18" s="9" customFormat="1" ht="24">
      <c r="A15" s="389"/>
      <c r="B15" s="41" t="s">
        <v>56</v>
      </c>
      <c r="C15" s="44" t="s">
        <v>57</v>
      </c>
      <c r="D15" s="45">
        <v>199374.95</v>
      </c>
      <c r="E15" s="94"/>
      <c r="F15" s="236">
        <v>3968327</v>
      </c>
      <c r="G15" s="95">
        <f>I15</f>
        <v>3509731</v>
      </c>
      <c r="H15" s="95"/>
      <c r="I15" s="95">
        <f>J15+K15+M15</f>
        <v>3509731</v>
      </c>
      <c r="J15" s="103">
        <f>204783+32479+5017</f>
        <v>242279</v>
      </c>
      <c r="K15" s="103">
        <v>3264152</v>
      </c>
      <c r="L15" s="103"/>
      <c r="M15" s="95">
        <v>3300</v>
      </c>
      <c r="N15" s="95"/>
      <c r="O15" s="95"/>
      <c r="P15" s="95"/>
      <c r="Q15" s="95"/>
      <c r="R15" s="95"/>
    </row>
    <row r="16" spans="1:18" s="9" customFormat="1" ht="24" customHeight="1">
      <c r="A16" s="389"/>
      <c r="B16" s="382" t="s">
        <v>11</v>
      </c>
      <c r="C16" s="379" t="s">
        <v>12</v>
      </c>
      <c r="D16" s="254">
        <v>1214615.8</v>
      </c>
      <c r="E16" s="255"/>
      <c r="F16" s="237">
        <f>F17+F18</f>
        <v>46484933</v>
      </c>
      <c r="G16" s="256">
        <f>H16+I16</f>
        <v>31030016</v>
      </c>
      <c r="H16" s="256">
        <f>H17+H18</f>
        <v>23314482</v>
      </c>
      <c r="I16" s="256">
        <f>J16+K16+L16+M16</f>
        <v>7715534</v>
      </c>
      <c r="J16" s="260">
        <f>J17+J18</f>
        <v>869107</v>
      </c>
      <c r="K16" s="260">
        <f>K17+K18</f>
        <v>4248200</v>
      </c>
      <c r="L16" s="260">
        <f>L17+L18</f>
        <v>2582827</v>
      </c>
      <c r="M16" s="260">
        <f>M17+M18</f>
        <v>15400</v>
      </c>
      <c r="N16" s="256"/>
      <c r="O16" s="256"/>
      <c r="P16" s="256"/>
      <c r="Q16" s="256"/>
      <c r="R16" s="256"/>
    </row>
    <row r="17" spans="1:18" s="9" customFormat="1" ht="16.5" customHeight="1">
      <c r="A17" s="50"/>
      <c r="B17" s="383"/>
      <c r="C17" s="380"/>
      <c r="D17" s="257"/>
      <c r="E17" s="205" t="s">
        <v>139</v>
      </c>
      <c r="F17" s="238">
        <f>5695963+36162850</f>
        <v>41858813</v>
      </c>
      <c r="G17" s="175">
        <f>H17+I17</f>
        <v>24872309</v>
      </c>
      <c r="H17" s="175">
        <v>22289482</v>
      </c>
      <c r="I17" s="175">
        <f>SUM(J17:R17)</f>
        <v>2582827</v>
      </c>
      <c r="J17" s="233"/>
      <c r="K17" s="233"/>
      <c r="L17" s="145">
        <f>2232827+350000</f>
        <v>2582827</v>
      </c>
      <c r="M17" s="232"/>
      <c r="N17" s="175"/>
      <c r="O17" s="175"/>
      <c r="P17" s="175"/>
      <c r="Q17" s="175"/>
      <c r="R17" s="175"/>
    </row>
    <row r="18" spans="1:18" s="9" customFormat="1" ht="18" customHeight="1" thickBot="1">
      <c r="A18" s="50"/>
      <c r="B18" s="384"/>
      <c r="C18" s="381"/>
      <c r="D18" s="257"/>
      <c r="E18" s="258" t="s">
        <v>140</v>
      </c>
      <c r="F18" s="239">
        <v>4626120</v>
      </c>
      <c r="G18" s="221">
        <f>H18+I18</f>
        <v>6157707</v>
      </c>
      <c r="H18" s="221">
        <f>35000+990000</f>
        <v>1025000</v>
      </c>
      <c r="I18" s="221">
        <f>SUM(J18:R18)</f>
        <v>5132707</v>
      </c>
      <c r="J18" s="261">
        <f>656642+62100+112921+17444+20000</f>
        <v>869107</v>
      </c>
      <c r="K18" s="292">
        <v>4248200</v>
      </c>
      <c r="L18" s="259"/>
      <c r="M18" s="227">
        <v>15400</v>
      </c>
      <c r="N18" s="221"/>
      <c r="O18" s="221"/>
      <c r="P18" s="221"/>
      <c r="Q18" s="221"/>
      <c r="R18" s="221"/>
    </row>
    <row r="19" spans="1:18" s="32" customFormat="1" ht="24" customHeight="1" thickBot="1">
      <c r="A19" s="262" t="s">
        <v>58</v>
      </c>
      <c r="B19" s="262"/>
      <c r="C19" s="264" t="s">
        <v>60</v>
      </c>
      <c r="D19" s="275"/>
      <c r="E19" s="266"/>
      <c r="F19" s="235">
        <f>F20+F21</f>
        <v>67342</v>
      </c>
      <c r="G19" s="273">
        <f>G20+G21</f>
        <v>54325</v>
      </c>
      <c r="H19" s="273">
        <f>H20+H21</f>
        <v>0</v>
      </c>
      <c r="I19" s="273">
        <f>I20+I21</f>
        <v>54325</v>
      </c>
      <c r="J19" s="274"/>
      <c r="K19" s="274">
        <f>K20+K21</f>
        <v>34325</v>
      </c>
      <c r="L19" s="274">
        <f>L20+L21</f>
        <v>20000</v>
      </c>
      <c r="M19" s="273"/>
      <c r="N19" s="273"/>
      <c r="O19" s="273"/>
      <c r="P19" s="273"/>
      <c r="Q19" s="273"/>
      <c r="R19" s="273"/>
    </row>
    <row r="20" spans="1:18" s="9" customFormat="1" ht="36" customHeight="1">
      <c r="A20" s="329"/>
      <c r="B20" s="59" t="s">
        <v>59</v>
      </c>
      <c r="C20" s="58" t="s">
        <v>61</v>
      </c>
      <c r="D20" s="45"/>
      <c r="E20" s="288" t="s">
        <v>143</v>
      </c>
      <c r="F20" s="289">
        <v>49710</v>
      </c>
      <c r="G20" s="290">
        <f>H20+I20</f>
        <v>37000</v>
      </c>
      <c r="H20" s="290"/>
      <c r="I20" s="290">
        <f>SUM(J20:R20)</f>
        <v>37000</v>
      </c>
      <c r="J20" s="291"/>
      <c r="K20" s="291">
        <v>17000</v>
      </c>
      <c r="L20" s="291">
        <v>20000</v>
      </c>
      <c r="M20" s="290"/>
      <c r="N20" s="290"/>
      <c r="O20" s="290"/>
      <c r="P20" s="290"/>
      <c r="Q20" s="290"/>
      <c r="R20" s="290"/>
    </row>
    <row r="21" spans="1:18" s="9" customFormat="1" ht="24" customHeight="1" thickBot="1">
      <c r="A21" s="329"/>
      <c r="B21" s="42" t="s">
        <v>62</v>
      </c>
      <c r="C21" s="61" t="s">
        <v>9</v>
      </c>
      <c r="D21" s="48"/>
      <c r="E21" s="99" t="s">
        <v>143</v>
      </c>
      <c r="F21" s="237">
        <v>17632</v>
      </c>
      <c r="G21" s="100">
        <f>H21+I21</f>
        <v>17325</v>
      </c>
      <c r="H21" s="100"/>
      <c r="I21" s="100">
        <f>SUM(J21:R21)</f>
        <v>17325</v>
      </c>
      <c r="J21" s="104"/>
      <c r="K21" s="104">
        <v>17325</v>
      </c>
      <c r="L21" s="104"/>
      <c r="M21" s="100"/>
      <c r="N21" s="100"/>
      <c r="O21" s="100"/>
      <c r="P21" s="100"/>
      <c r="Q21" s="100"/>
      <c r="R21" s="100"/>
    </row>
    <row r="22" spans="1:18" s="9" customFormat="1" ht="24.75" thickBot="1">
      <c r="A22" s="269">
        <v>700</v>
      </c>
      <c r="B22" s="263"/>
      <c r="C22" s="270" t="s">
        <v>13</v>
      </c>
      <c r="D22" s="271">
        <f>SUM(D23:D23)</f>
        <v>809610.78</v>
      </c>
      <c r="E22" s="272"/>
      <c r="F22" s="235">
        <f>F23</f>
        <v>1193000</v>
      </c>
      <c r="G22" s="273">
        <f>G23</f>
        <v>575976</v>
      </c>
      <c r="H22" s="273"/>
      <c r="I22" s="273">
        <f>I23</f>
        <v>575976</v>
      </c>
      <c r="J22" s="274">
        <f>J23</f>
        <v>4516</v>
      </c>
      <c r="K22" s="274">
        <f>K23</f>
        <v>571460</v>
      </c>
      <c r="L22" s="273"/>
      <c r="M22" s="273"/>
      <c r="N22" s="273"/>
      <c r="O22" s="273"/>
      <c r="P22" s="273"/>
      <c r="Q22" s="273"/>
      <c r="R22" s="273"/>
    </row>
    <row r="23" spans="1:20" s="9" customFormat="1" ht="36" customHeight="1">
      <c r="A23" s="40"/>
      <c r="B23" s="328">
        <v>70005</v>
      </c>
      <c r="C23" s="385" t="s">
        <v>14</v>
      </c>
      <c r="D23" s="47">
        <v>809610.78</v>
      </c>
      <c r="E23" s="129"/>
      <c r="F23" s="240">
        <v>1193000</v>
      </c>
      <c r="G23" s="130">
        <f>G24+G25</f>
        <v>575976</v>
      </c>
      <c r="H23" s="108"/>
      <c r="I23" s="130">
        <f>I24+I25</f>
        <v>575976</v>
      </c>
      <c r="J23" s="109">
        <f>J24+J25</f>
        <v>4516</v>
      </c>
      <c r="K23" s="109">
        <f>K24+K25</f>
        <v>571460</v>
      </c>
      <c r="L23" s="108"/>
      <c r="M23" s="110"/>
      <c r="N23" s="110"/>
      <c r="O23" s="110"/>
      <c r="P23" s="110"/>
      <c r="Q23" s="108"/>
      <c r="R23" s="108"/>
      <c r="S23" s="12"/>
      <c r="T23" s="12"/>
    </row>
    <row r="24" spans="1:20" s="9" customFormat="1" ht="12.75">
      <c r="A24" s="40"/>
      <c r="B24" s="329"/>
      <c r="C24" s="386"/>
      <c r="D24" s="47"/>
      <c r="E24" s="111" t="s">
        <v>136</v>
      </c>
      <c r="F24" s="238"/>
      <c r="G24" s="112">
        <f>H24+I24</f>
        <v>133360</v>
      </c>
      <c r="H24" s="112"/>
      <c r="I24" s="112">
        <f>SUM(J24:R24)</f>
        <v>133360</v>
      </c>
      <c r="J24" s="113"/>
      <c r="K24" s="113">
        <f>116500+16860</f>
        <v>133360</v>
      </c>
      <c r="L24" s="112"/>
      <c r="M24" s="112"/>
      <c r="N24" s="112"/>
      <c r="O24" s="112"/>
      <c r="P24" s="112"/>
      <c r="Q24" s="112"/>
      <c r="R24" s="112"/>
      <c r="S24" s="12"/>
      <c r="T24" s="12"/>
    </row>
    <row r="25" spans="1:20" s="9" customFormat="1" ht="13.5" thickBot="1">
      <c r="A25" s="40"/>
      <c r="B25" s="330"/>
      <c r="C25" s="387"/>
      <c r="D25" s="47"/>
      <c r="E25" s="114" t="s">
        <v>144</v>
      </c>
      <c r="F25" s="241"/>
      <c r="G25" s="115">
        <f>H25+I25</f>
        <v>442616</v>
      </c>
      <c r="H25" s="115"/>
      <c r="I25" s="115">
        <f>SUM(J25:R25)</f>
        <v>442616</v>
      </c>
      <c r="J25" s="116">
        <v>4516</v>
      </c>
      <c r="K25" s="116">
        <f>403100+35000</f>
        <v>438100</v>
      </c>
      <c r="L25" s="115"/>
      <c r="M25" s="115"/>
      <c r="N25" s="115"/>
      <c r="O25" s="115"/>
      <c r="P25" s="115"/>
      <c r="Q25" s="115"/>
      <c r="R25" s="115"/>
      <c r="S25" s="12"/>
      <c r="T25" s="12"/>
    </row>
    <row r="26" spans="1:20" s="9" customFormat="1" ht="24.75" thickBot="1">
      <c r="A26" s="269">
        <v>710</v>
      </c>
      <c r="B26" s="263"/>
      <c r="C26" s="270" t="s">
        <v>15</v>
      </c>
      <c r="D26" s="271">
        <f>SUM(D27:D28)</f>
        <v>62000</v>
      </c>
      <c r="E26" s="272"/>
      <c r="F26" s="235">
        <f aca="true" t="shared" si="0" ref="F26:L26">F27+F28+F29+F30+F31</f>
        <v>1072124</v>
      </c>
      <c r="G26" s="273">
        <f t="shared" si="0"/>
        <v>2401397</v>
      </c>
      <c r="H26" s="273">
        <f t="shared" si="0"/>
        <v>0</v>
      </c>
      <c r="I26" s="273">
        <f t="shared" si="0"/>
        <v>2401397</v>
      </c>
      <c r="J26" s="274">
        <f t="shared" si="0"/>
        <v>1085050</v>
      </c>
      <c r="K26" s="274">
        <f t="shared" si="0"/>
        <v>1079563</v>
      </c>
      <c r="L26" s="273">
        <f t="shared" si="0"/>
        <v>236784</v>
      </c>
      <c r="M26" s="273"/>
      <c r="N26" s="273"/>
      <c r="O26" s="273"/>
      <c r="P26" s="273"/>
      <c r="Q26" s="273"/>
      <c r="R26" s="273"/>
      <c r="S26" s="12"/>
      <c r="T26" s="12"/>
    </row>
    <row r="27" spans="1:20" s="9" customFormat="1" ht="48" customHeight="1">
      <c r="A27" s="329"/>
      <c r="B27" s="59" t="s">
        <v>63</v>
      </c>
      <c r="C27" s="58" t="s">
        <v>65</v>
      </c>
      <c r="D27" s="45">
        <v>46960</v>
      </c>
      <c r="E27" s="94" t="s">
        <v>145</v>
      </c>
      <c r="F27" s="236">
        <v>414000</v>
      </c>
      <c r="G27" s="95">
        <f>I27</f>
        <v>486460</v>
      </c>
      <c r="H27" s="95"/>
      <c r="I27" s="95">
        <f>SUM(J27:R27)</f>
        <v>486460</v>
      </c>
      <c r="J27" s="103">
        <f>385560+28000+62800+10100</f>
        <v>486460</v>
      </c>
      <c r="K27" s="103"/>
      <c r="L27" s="95"/>
      <c r="M27" s="95"/>
      <c r="N27" s="95"/>
      <c r="O27" s="95"/>
      <c r="P27" s="95"/>
      <c r="Q27" s="95"/>
      <c r="R27" s="95"/>
      <c r="S27" s="12"/>
      <c r="T27" s="12"/>
    </row>
    <row r="28" spans="1:20" s="9" customFormat="1" ht="38.25" customHeight="1">
      <c r="A28" s="329"/>
      <c r="B28" s="42" t="s">
        <v>64</v>
      </c>
      <c r="C28" s="61" t="s">
        <v>66</v>
      </c>
      <c r="D28" s="11">
        <v>15040</v>
      </c>
      <c r="E28" s="117" t="s">
        <v>146</v>
      </c>
      <c r="F28" s="236">
        <v>141000</v>
      </c>
      <c r="G28" s="95">
        <f>I28</f>
        <v>140090</v>
      </c>
      <c r="H28" s="118"/>
      <c r="I28" s="118">
        <f>SUM(J28:R28)</f>
        <v>140090</v>
      </c>
      <c r="J28" s="119">
        <f>109600+9500+18090+2900</f>
        <v>140090</v>
      </c>
      <c r="K28" s="119"/>
      <c r="L28" s="118"/>
      <c r="M28" s="118"/>
      <c r="N28" s="118"/>
      <c r="O28" s="118"/>
      <c r="P28" s="118"/>
      <c r="Q28" s="118"/>
      <c r="R28" s="118"/>
      <c r="S28" s="12"/>
      <c r="T28" s="12"/>
    </row>
    <row r="29" spans="1:20" s="9" customFormat="1" ht="38.25" customHeight="1">
      <c r="A29" s="329"/>
      <c r="B29" s="42" t="s">
        <v>67</v>
      </c>
      <c r="C29" s="61" t="s">
        <v>68</v>
      </c>
      <c r="D29" s="11"/>
      <c r="E29" s="117" t="s">
        <v>136</v>
      </c>
      <c r="F29" s="236">
        <v>6766</v>
      </c>
      <c r="G29" s="95">
        <f>I29</f>
        <v>6663</v>
      </c>
      <c r="H29" s="118"/>
      <c r="I29" s="118">
        <f>SUM(J29:R29)</f>
        <v>6663</v>
      </c>
      <c r="J29" s="119"/>
      <c r="K29" s="119">
        <v>6663</v>
      </c>
      <c r="L29" s="118"/>
      <c r="M29" s="118"/>
      <c r="N29" s="118"/>
      <c r="O29" s="118"/>
      <c r="P29" s="118"/>
      <c r="Q29" s="118"/>
      <c r="R29" s="118"/>
      <c r="S29" s="12"/>
      <c r="T29" s="12"/>
    </row>
    <row r="30" spans="1:20" s="9" customFormat="1" ht="38.25" customHeight="1">
      <c r="A30" s="329"/>
      <c r="B30" s="42" t="s">
        <v>69</v>
      </c>
      <c r="C30" s="61" t="s">
        <v>70</v>
      </c>
      <c r="D30" s="48"/>
      <c r="E30" s="99" t="s">
        <v>147</v>
      </c>
      <c r="F30" s="240">
        <v>510358</v>
      </c>
      <c r="G30" s="95">
        <f>I30</f>
        <v>518900</v>
      </c>
      <c r="H30" s="100"/>
      <c r="I30" s="100">
        <f>SUM(J30:R30)</f>
        <v>518900</v>
      </c>
      <c r="J30" s="104">
        <v>446000</v>
      </c>
      <c r="K30" s="104">
        <v>72900</v>
      </c>
      <c r="L30" s="100"/>
      <c r="M30" s="100"/>
      <c r="N30" s="100"/>
      <c r="O30" s="100"/>
      <c r="P30" s="100"/>
      <c r="Q30" s="100"/>
      <c r="R30" s="100"/>
      <c r="S30" s="12"/>
      <c r="T30" s="12"/>
    </row>
    <row r="31" spans="1:20" s="9" customFormat="1" ht="38.25" customHeight="1" thickBot="1">
      <c r="A31" s="40"/>
      <c r="B31" s="42" t="s">
        <v>163</v>
      </c>
      <c r="C31" s="61" t="s">
        <v>9</v>
      </c>
      <c r="D31" s="48"/>
      <c r="E31" s="99" t="s">
        <v>146</v>
      </c>
      <c r="F31" s="242">
        <v>0</v>
      </c>
      <c r="G31" s="95">
        <f>I31+H31</f>
        <v>1249284</v>
      </c>
      <c r="H31" s="100">
        <v>0</v>
      </c>
      <c r="I31" s="100">
        <f>SUM(J31:R31)</f>
        <v>1249284</v>
      </c>
      <c r="J31" s="104">
        <v>12500</v>
      </c>
      <c r="K31" s="104">
        <v>1000000</v>
      </c>
      <c r="L31" s="100">
        <f>138000+98784</f>
        <v>236784</v>
      </c>
      <c r="M31" s="100"/>
      <c r="N31" s="100"/>
      <c r="O31" s="100"/>
      <c r="P31" s="100"/>
      <c r="Q31" s="100"/>
      <c r="R31" s="100"/>
      <c r="S31" s="12"/>
      <c r="T31" s="12"/>
    </row>
    <row r="32" spans="1:20" s="9" customFormat="1" ht="24.75" thickBot="1">
      <c r="A32" s="276">
        <v>750</v>
      </c>
      <c r="B32" s="277"/>
      <c r="C32" s="270" t="s">
        <v>16</v>
      </c>
      <c r="D32" s="271">
        <f>SUM(D33:D44)</f>
        <v>246990.2</v>
      </c>
      <c r="E32" s="272"/>
      <c r="F32" s="235">
        <f>F33+F34+F35+F42+F43+F44</f>
        <v>11635911</v>
      </c>
      <c r="G32" s="273">
        <f>G33+G34+G35+G42+G43+G44</f>
        <v>12860475</v>
      </c>
      <c r="H32" s="273">
        <f>H33+H34+H35</f>
        <v>1543823</v>
      </c>
      <c r="I32" s="273">
        <f>I33+I34+I35+I42+I43+I44</f>
        <v>11316652</v>
      </c>
      <c r="J32" s="274">
        <f>J33+J35+J42+J43+J44</f>
        <v>6781475</v>
      </c>
      <c r="K32" s="274">
        <f>K33+K34+K35+K42+K43+K44</f>
        <v>3792754</v>
      </c>
      <c r="L32" s="274">
        <f>L35+L44</f>
        <v>3000</v>
      </c>
      <c r="M32" s="273">
        <f>M33+M34+M35+M42</f>
        <v>485315</v>
      </c>
      <c r="N32" s="273"/>
      <c r="O32" s="273">
        <f>O33+O34+O35+O42+O43+O44</f>
        <v>254108</v>
      </c>
      <c r="P32" s="273"/>
      <c r="Q32" s="273"/>
      <c r="R32" s="273"/>
      <c r="S32" s="12"/>
      <c r="T32" s="12"/>
    </row>
    <row r="33" spans="1:20" s="4" customFormat="1" ht="24" customHeight="1">
      <c r="A33" s="334"/>
      <c r="B33" s="56">
        <v>75011</v>
      </c>
      <c r="C33" s="44" t="s">
        <v>17</v>
      </c>
      <c r="D33" s="45">
        <v>60182</v>
      </c>
      <c r="E33" s="94" t="s">
        <v>145</v>
      </c>
      <c r="F33" s="236">
        <v>1712977</v>
      </c>
      <c r="G33" s="95">
        <f>I33</f>
        <v>1638177</v>
      </c>
      <c r="H33" s="95"/>
      <c r="I33" s="95">
        <f aca="true" t="shared" si="1" ref="I33:I44">SUM(J33:R33)</f>
        <v>1638177</v>
      </c>
      <c r="J33" s="103">
        <f>1290200+102200+211500+34100</f>
        <v>1638000</v>
      </c>
      <c r="K33" s="103">
        <v>177</v>
      </c>
      <c r="L33" s="103"/>
      <c r="M33" s="95"/>
      <c r="N33" s="95"/>
      <c r="O33" s="95"/>
      <c r="P33" s="95"/>
      <c r="Q33" s="95"/>
      <c r="R33" s="95"/>
      <c r="S33" s="13"/>
      <c r="T33" s="13"/>
    </row>
    <row r="34" spans="1:20" s="4" customFormat="1" ht="25.5" customHeight="1">
      <c r="A34" s="334"/>
      <c r="B34" s="37">
        <v>75019</v>
      </c>
      <c r="C34" s="10" t="s">
        <v>71</v>
      </c>
      <c r="D34" s="11"/>
      <c r="E34" s="117" t="s">
        <v>148</v>
      </c>
      <c r="F34" s="236">
        <v>506570</v>
      </c>
      <c r="G34" s="95">
        <f>I34</f>
        <v>484200</v>
      </c>
      <c r="H34" s="118"/>
      <c r="I34" s="118">
        <f t="shared" si="1"/>
        <v>484200</v>
      </c>
      <c r="J34" s="119"/>
      <c r="K34" s="119">
        <v>24200</v>
      </c>
      <c r="L34" s="119"/>
      <c r="M34" s="118">
        <v>460000</v>
      </c>
      <c r="N34" s="118"/>
      <c r="O34" s="118"/>
      <c r="P34" s="118"/>
      <c r="Q34" s="118"/>
      <c r="R34" s="118"/>
      <c r="S34" s="13"/>
      <c r="T34" s="13"/>
    </row>
    <row r="35" spans="1:20" s="4" customFormat="1" ht="24" customHeight="1">
      <c r="A35" s="334"/>
      <c r="B35" s="333">
        <v>75020</v>
      </c>
      <c r="C35" s="331" t="s">
        <v>18</v>
      </c>
      <c r="D35" s="11">
        <v>0</v>
      </c>
      <c r="E35" s="117"/>
      <c r="F35" s="236">
        <v>9070586</v>
      </c>
      <c r="G35" s="95">
        <f>I35+H35</f>
        <v>10331990</v>
      </c>
      <c r="H35" s="118">
        <f>H36+H37+H38+H39+H40+H41</f>
        <v>1543823</v>
      </c>
      <c r="I35" s="118">
        <f>SUM(J35:R35)</f>
        <v>8788167</v>
      </c>
      <c r="J35" s="119">
        <f>SUM(J36:J40)</f>
        <v>5124942</v>
      </c>
      <c r="K35" s="119">
        <f>SUM(K36:K40)</f>
        <v>3656225</v>
      </c>
      <c r="L35" s="119"/>
      <c r="M35" s="118">
        <f>M36+M37+M38+M39+M40</f>
        <v>7000</v>
      </c>
      <c r="N35" s="118"/>
      <c r="O35" s="118"/>
      <c r="P35" s="118"/>
      <c r="Q35" s="118"/>
      <c r="R35" s="118"/>
      <c r="S35" s="13"/>
      <c r="T35" s="13"/>
    </row>
    <row r="36" spans="1:20" s="4" customFormat="1" ht="17.25" customHeight="1">
      <c r="A36" s="334"/>
      <c r="B36" s="334"/>
      <c r="C36" s="332"/>
      <c r="D36" s="11"/>
      <c r="E36" s="105" t="s">
        <v>149</v>
      </c>
      <c r="F36" s="238">
        <v>0</v>
      </c>
      <c r="G36" s="106">
        <f aca="true" t="shared" si="2" ref="G36:G44">H36+I36</f>
        <v>1590090</v>
      </c>
      <c r="H36" s="106">
        <v>150000</v>
      </c>
      <c r="I36" s="106">
        <f t="shared" si="1"/>
        <v>1440090</v>
      </c>
      <c r="J36" s="107"/>
      <c r="K36" s="107">
        <f>1573500+640-100000-41050</f>
        <v>1433090</v>
      </c>
      <c r="L36" s="107"/>
      <c r="M36" s="106">
        <v>7000</v>
      </c>
      <c r="N36" s="106"/>
      <c r="O36" s="106"/>
      <c r="P36" s="106"/>
      <c r="Q36" s="106"/>
      <c r="R36" s="106"/>
      <c r="S36" s="13"/>
      <c r="T36" s="13"/>
    </row>
    <row r="37" spans="1:20" s="4" customFormat="1" ht="17.25" customHeight="1">
      <c r="A37" s="334"/>
      <c r="B37" s="334"/>
      <c r="C37" s="332"/>
      <c r="D37" s="11"/>
      <c r="E37" s="120" t="s">
        <v>146</v>
      </c>
      <c r="F37" s="243">
        <v>0</v>
      </c>
      <c r="G37" s="121">
        <f>H37+I37</f>
        <v>893823</v>
      </c>
      <c r="H37" s="121">
        <v>893823</v>
      </c>
      <c r="I37" s="124">
        <f t="shared" si="1"/>
        <v>0</v>
      </c>
      <c r="J37" s="122"/>
      <c r="K37" s="122"/>
      <c r="L37" s="122"/>
      <c r="M37" s="121"/>
      <c r="N37" s="121"/>
      <c r="O37" s="121"/>
      <c r="P37" s="121"/>
      <c r="Q37" s="121"/>
      <c r="R37" s="121"/>
      <c r="S37" s="13"/>
      <c r="T37" s="13"/>
    </row>
    <row r="38" spans="1:20" s="4" customFormat="1" ht="17.25" customHeight="1">
      <c r="A38" s="334"/>
      <c r="B38" s="334"/>
      <c r="C38" s="332"/>
      <c r="D38" s="11"/>
      <c r="E38" s="120" t="s">
        <v>137</v>
      </c>
      <c r="F38" s="243">
        <v>0</v>
      </c>
      <c r="G38" s="121">
        <f>I38</f>
        <v>3200</v>
      </c>
      <c r="H38" s="121"/>
      <c r="I38" s="124">
        <f t="shared" si="1"/>
        <v>3200</v>
      </c>
      <c r="J38" s="122"/>
      <c r="K38" s="122">
        <f>3200</f>
        <v>3200</v>
      </c>
      <c r="L38" s="122"/>
      <c r="M38" s="121"/>
      <c r="N38" s="121"/>
      <c r="O38" s="121"/>
      <c r="P38" s="121"/>
      <c r="Q38" s="121"/>
      <c r="R38" s="121"/>
      <c r="S38" s="13"/>
      <c r="T38" s="13"/>
    </row>
    <row r="39" spans="1:20" s="4" customFormat="1" ht="15.75" customHeight="1">
      <c r="A39" s="334"/>
      <c r="B39" s="334"/>
      <c r="C39" s="332"/>
      <c r="D39" s="11"/>
      <c r="E39" s="123" t="s">
        <v>150</v>
      </c>
      <c r="F39" s="244">
        <v>0</v>
      </c>
      <c r="G39" s="124">
        <f t="shared" si="2"/>
        <v>1922449</v>
      </c>
      <c r="H39" s="124"/>
      <c r="I39" s="124">
        <f t="shared" si="1"/>
        <v>1922449</v>
      </c>
      <c r="J39" s="125"/>
      <c r="K39" s="125">
        <v>1922449</v>
      </c>
      <c r="L39" s="125"/>
      <c r="M39" s="124"/>
      <c r="N39" s="124"/>
      <c r="O39" s="124"/>
      <c r="P39" s="124"/>
      <c r="Q39" s="124"/>
      <c r="R39" s="124"/>
      <c r="S39" s="13"/>
      <c r="T39" s="13"/>
    </row>
    <row r="40" spans="1:20" s="4" customFormat="1" ht="16.5" customHeight="1">
      <c r="A40" s="334"/>
      <c r="B40" s="334"/>
      <c r="C40" s="332"/>
      <c r="D40" s="11"/>
      <c r="E40" s="123" t="s">
        <v>145</v>
      </c>
      <c r="F40" s="244">
        <v>0</v>
      </c>
      <c r="G40" s="124">
        <f t="shared" si="2"/>
        <v>5422428</v>
      </c>
      <c r="H40" s="124"/>
      <c r="I40" s="124">
        <f t="shared" si="1"/>
        <v>5422428</v>
      </c>
      <c r="J40" s="125">
        <f>4039742+320300+650100+104800+10000</f>
        <v>5124942</v>
      </c>
      <c r="K40" s="125">
        <f>36290+10000+200146+10000+41050</f>
        <v>297486</v>
      </c>
      <c r="L40" s="125"/>
      <c r="M40" s="124"/>
      <c r="N40" s="124"/>
      <c r="O40" s="124"/>
      <c r="P40" s="124"/>
      <c r="Q40" s="124"/>
      <c r="R40" s="124"/>
      <c r="S40" s="13"/>
      <c r="T40" s="13"/>
    </row>
    <row r="41" spans="1:20" s="4" customFormat="1" ht="16.5" customHeight="1">
      <c r="A41" s="334"/>
      <c r="B41" s="39"/>
      <c r="C41" s="302"/>
      <c r="D41" s="11"/>
      <c r="E41" s="126" t="s">
        <v>152</v>
      </c>
      <c r="F41" s="245">
        <v>0</v>
      </c>
      <c r="G41" s="127">
        <f>H41</f>
        <v>500000</v>
      </c>
      <c r="H41" s="127">
        <v>500000</v>
      </c>
      <c r="I41" s="127"/>
      <c r="J41" s="128"/>
      <c r="K41" s="128"/>
      <c r="L41" s="128"/>
      <c r="M41" s="127"/>
      <c r="N41" s="127"/>
      <c r="O41" s="127"/>
      <c r="P41" s="127"/>
      <c r="Q41" s="127"/>
      <c r="R41" s="127"/>
      <c r="S41" s="13"/>
      <c r="T41" s="13"/>
    </row>
    <row r="42" spans="1:20" s="4" customFormat="1" ht="30" customHeight="1">
      <c r="A42" s="334"/>
      <c r="B42" s="37">
        <v>75045</v>
      </c>
      <c r="C42" s="61" t="s">
        <v>72</v>
      </c>
      <c r="D42" s="11"/>
      <c r="E42" s="117" t="s">
        <v>137</v>
      </c>
      <c r="F42" s="246">
        <v>36900</v>
      </c>
      <c r="G42" s="118">
        <f t="shared" si="2"/>
        <v>37000</v>
      </c>
      <c r="H42" s="118"/>
      <c r="I42" s="118">
        <f t="shared" si="1"/>
        <v>37000</v>
      </c>
      <c r="J42" s="119">
        <v>16533</v>
      </c>
      <c r="K42" s="119">
        <v>2152</v>
      </c>
      <c r="L42" s="119"/>
      <c r="M42" s="118">
        <v>18315</v>
      </c>
      <c r="N42" s="118"/>
      <c r="O42" s="118"/>
      <c r="P42" s="118"/>
      <c r="Q42" s="118"/>
      <c r="R42" s="118"/>
      <c r="S42" s="13"/>
      <c r="T42" s="13"/>
    </row>
    <row r="43" spans="1:20" s="9" customFormat="1" ht="35.25" customHeight="1">
      <c r="A43" s="334"/>
      <c r="B43" s="37">
        <v>75075</v>
      </c>
      <c r="C43" s="61" t="s">
        <v>19</v>
      </c>
      <c r="D43" s="11">
        <v>63950</v>
      </c>
      <c r="E43" s="117" t="s">
        <v>143</v>
      </c>
      <c r="F43" s="246">
        <v>305878</v>
      </c>
      <c r="G43" s="118">
        <f t="shared" si="2"/>
        <v>366108</v>
      </c>
      <c r="H43" s="118"/>
      <c r="I43" s="118">
        <f t="shared" si="1"/>
        <v>366108</v>
      </c>
      <c r="J43" s="119">
        <v>2000</v>
      </c>
      <c r="K43" s="119">
        <v>110000</v>
      </c>
      <c r="L43" s="119"/>
      <c r="M43" s="118"/>
      <c r="N43" s="118"/>
      <c r="O43" s="118">
        <v>254108</v>
      </c>
      <c r="P43" s="118"/>
      <c r="Q43" s="118"/>
      <c r="R43" s="118"/>
      <c r="S43" s="12"/>
      <c r="T43" s="12"/>
    </row>
    <row r="44" spans="1:20" s="9" customFormat="1" ht="24.75" customHeight="1" thickBot="1">
      <c r="A44" s="334"/>
      <c r="B44" s="37">
        <v>75095</v>
      </c>
      <c r="C44" s="61" t="s">
        <v>9</v>
      </c>
      <c r="D44" s="48">
        <v>122858.2</v>
      </c>
      <c r="E44" s="99" t="s">
        <v>153</v>
      </c>
      <c r="F44" s="237">
        <v>3000</v>
      </c>
      <c r="G44" s="100">
        <f t="shared" si="2"/>
        <v>3000</v>
      </c>
      <c r="H44" s="100"/>
      <c r="I44" s="100">
        <f t="shared" si="1"/>
        <v>3000</v>
      </c>
      <c r="J44" s="104"/>
      <c r="K44" s="104"/>
      <c r="L44" s="104">
        <v>3000</v>
      </c>
      <c r="M44" s="100"/>
      <c r="N44" s="100"/>
      <c r="O44" s="100"/>
      <c r="P44" s="100"/>
      <c r="Q44" s="100"/>
      <c r="R44" s="100"/>
      <c r="S44" s="12"/>
      <c r="T44" s="12"/>
    </row>
    <row r="45" spans="1:18" ht="36.75" thickBot="1">
      <c r="A45" s="276">
        <v>754</v>
      </c>
      <c r="B45" s="276"/>
      <c r="C45" s="270" t="s">
        <v>20</v>
      </c>
      <c r="D45" s="271">
        <f>SUM(D46:D50)</f>
        <v>30303</v>
      </c>
      <c r="E45" s="272"/>
      <c r="F45" s="235">
        <f>F46+F48+F49+F50+F51+F47</f>
        <v>7525197</v>
      </c>
      <c r="G45" s="273">
        <f>G46+G48+G49+G50+G51+G47</f>
        <v>7293500</v>
      </c>
      <c r="H45" s="273"/>
      <c r="I45" s="273">
        <f>I46+I48+I49+I50+I51+I47</f>
        <v>7293500</v>
      </c>
      <c r="J45" s="274">
        <f>J46+J48</f>
        <v>6159330</v>
      </c>
      <c r="K45" s="274">
        <f>K46+K48+K50+K51+K47+K49</f>
        <v>711877</v>
      </c>
      <c r="L45" s="273">
        <f>L46+L48+L49+L50+L51+L47</f>
        <v>13000</v>
      </c>
      <c r="M45" s="273">
        <f>M46+M48+M49+M50+M51+M47</f>
        <v>409293</v>
      </c>
      <c r="N45" s="273"/>
      <c r="O45" s="273"/>
      <c r="P45" s="273"/>
      <c r="Q45" s="273"/>
      <c r="R45" s="273"/>
    </row>
    <row r="46" spans="1:18" ht="24" customHeight="1">
      <c r="A46" s="307"/>
      <c r="B46" s="224">
        <v>75405</v>
      </c>
      <c r="C46" s="225" t="s">
        <v>73</v>
      </c>
      <c r="D46" s="45">
        <v>4281</v>
      </c>
      <c r="E46" s="94" t="s">
        <v>137</v>
      </c>
      <c r="F46" s="236">
        <v>2500</v>
      </c>
      <c r="G46" s="95">
        <f aca="true" t="shared" si="3" ref="G46:G51">H46+I46</f>
        <v>2500</v>
      </c>
      <c r="H46" s="95"/>
      <c r="I46" s="95">
        <f aca="true" t="shared" si="4" ref="I46:I51">SUM(J46:R46)</f>
        <v>2500</v>
      </c>
      <c r="J46" s="103"/>
      <c r="K46" s="103"/>
      <c r="L46" s="95"/>
      <c r="M46" s="95">
        <v>2500</v>
      </c>
      <c r="N46" s="95"/>
      <c r="O46" s="95"/>
      <c r="P46" s="95"/>
      <c r="Q46" s="95"/>
      <c r="R46" s="95"/>
    </row>
    <row r="47" spans="1:18" ht="24" customHeight="1">
      <c r="A47" s="307"/>
      <c r="B47" s="38">
        <v>75406</v>
      </c>
      <c r="C47" s="223" t="s">
        <v>164</v>
      </c>
      <c r="D47" s="45">
        <v>4281</v>
      </c>
      <c r="E47" s="94" t="s">
        <v>137</v>
      </c>
      <c r="F47" s="236">
        <v>5000</v>
      </c>
      <c r="G47" s="95">
        <f t="shared" si="3"/>
        <v>5000</v>
      </c>
      <c r="H47" s="95"/>
      <c r="I47" s="95">
        <f t="shared" si="4"/>
        <v>5000</v>
      </c>
      <c r="J47" s="103"/>
      <c r="K47" s="103"/>
      <c r="L47" s="95">
        <v>5000</v>
      </c>
      <c r="M47" s="95"/>
      <c r="N47" s="95"/>
      <c r="O47" s="95"/>
      <c r="P47" s="95"/>
      <c r="Q47" s="95"/>
      <c r="R47" s="95"/>
    </row>
    <row r="48" spans="1:18" ht="48" customHeight="1">
      <c r="A48" s="307"/>
      <c r="B48" s="37">
        <v>75411</v>
      </c>
      <c r="C48" s="61" t="s">
        <v>21</v>
      </c>
      <c r="D48" s="11">
        <v>0</v>
      </c>
      <c r="E48" s="117" t="s">
        <v>151</v>
      </c>
      <c r="F48" s="236">
        <v>7493697</v>
      </c>
      <c r="G48" s="95">
        <f t="shared" si="3"/>
        <v>7265000</v>
      </c>
      <c r="H48" s="118"/>
      <c r="I48" s="118">
        <f t="shared" si="4"/>
        <v>7265000</v>
      </c>
      <c r="J48" s="119">
        <v>6159330</v>
      </c>
      <c r="K48" s="119">
        <v>698877</v>
      </c>
      <c r="L48" s="118"/>
      <c r="M48" s="118">
        <v>406793</v>
      </c>
      <c r="N48" s="118"/>
      <c r="O48" s="118"/>
      <c r="P48" s="118"/>
      <c r="Q48" s="118"/>
      <c r="R48" s="118"/>
    </row>
    <row r="49" spans="1:18" ht="18" customHeight="1">
      <c r="A49" s="307"/>
      <c r="B49" s="37">
        <v>75414</v>
      </c>
      <c r="C49" s="61" t="s">
        <v>22</v>
      </c>
      <c r="D49" s="11">
        <v>18741</v>
      </c>
      <c r="E49" s="117" t="s">
        <v>137</v>
      </c>
      <c r="F49" s="236">
        <v>8000</v>
      </c>
      <c r="G49" s="95">
        <f t="shared" si="3"/>
        <v>8000</v>
      </c>
      <c r="H49" s="118"/>
      <c r="I49" s="118">
        <f t="shared" si="4"/>
        <v>8000</v>
      </c>
      <c r="J49" s="119"/>
      <c r="K49" s="119"/>
      <c r="L49" s="118">
        <v>8000</v>
      </c>
      <c r="M49" s="118"/>
      <c r="N49" s="118"/>
      <c r="O49" s="118"/>
      <c r="P49" s="118"/>
      <c r="Q49" s="118"/>
      <c r="R49" s="118"/>
    </row>
    <row r="50" spans="1:18" ht="29.25" customHeight="1">
      <c r="A50" s="307"/>
      <c r="B50" s="37">
        <v>75421</v>
      </c>
      <c r="C50" s="61" t="s">
        <v>23</v>
      </c>
      <c r="D50" s="11">
        <v>3000</v>
      </c>
      <c r="E50" s="117" t="s">
        <v>137</v>
      </c>
      <c r="F50" s="236">
        <v>6000</v>
      </c>
      <c r="G50" s="95">
        <f t="shared" si="3"/>
        <v>3000</v>
      </c>
      <c r="H50" s="118"/>
      <c r="I50" s="118">
        <f t="shared" si="4"/>
        <v>3000</v>
      </c>
      <c r="J50" s="119"/>
      <c r="K50" s="119">
        <v>3000</v>
      </c>
      <c r="L50" s="118"/>
      <c r="M50" s="118"/>
      <c r="N50" s="118"/>
      <c r="O50" s="118"/>
      <c r="P50" s="118"/>
      <c r="Q50" s="118"/>
      <c r="R50" s="118"/>
    </row>
    <row r="51" spans="1:18" ht="27" customHeight="1" thickBot="1">
      <c r="A51" s="307"/>
      <c r="B51" s="61">
        <v>75495</v>
      </c>
      <c r="C51" s="61" t="s">
        <v>9</v>
      </c>
      <c r="D51" s="48"/>
      <c r="E51" s="99" t="s">
        <v>137</v>
      </c>
      <c r="F51" s="240">
        <v>10000</v>
      </c>
      <c r="G51" s="95">
        <f t="shared" si="3"/>
        <v>10000</v>
      </c>
      <c r="H51" s="100"/>
      <c r="I51" s="100">
        <f t="shared" si="4"/>
        <v>10000</v>
      </c>
      <c r="J51" s="104"/>
      <c r="K51" s="104">
        <v>10000</v>
      </c>
      <c r="L51" s="100"/>
      <c r="M51" s="100"/>
      <c r="N51" s="100"/>
      <c r="O51" s="100"/>
      <c r="P51" s="100"/>
      <c r="Q51" s="100"/>
      <c r="R51" s="100"/>
    </row>
    <row r="52" spans="1:18" s="9" customFormat="1" ht="24.75" thickBot="1">
      <c r="A52" s="276">
        <v>757</v>
      </c>
      <c r="B52" s="276"/>
      <c r="C52" s="270" t="s">
        <v>24</v>
      </c>
      <c r="D52" s="271">
        <f>SUM(D53:D53)</f>
        <v>273800</v>
      </c>
      <c r="E52" s="272"/>
      <c r="F52" s="235">
        <f>F53+F54</f>
        <v>1031665</v>
      </c>
      <c r="G52" s="273">
        <f>G53+G54</f>
        <v>2346273</v>
      </c>
      <c r="H52" s="273"/>
      <c r="I52" s="273">
        <f>I53+I54</f>
        <v>2346273</v>
      </c>
      <c r="J52" s="274"/>
      <c r="K52" s="274"/>
      <c r="L52" s="273"/>
      <c r="M52" s="273"/>
      <c r="N52" s="273"/>
      <c r="O52" s="273"/>
      <c r="P52" s="273"/>
      <c r="Q52" s="274">
        <f>Q54</f>
        <v>417759</v>
      </c>
      <c r="R52" s="274">
        <f>R53</f>
        <v>1928514</v>
      </c>
    </row>
    <row r="53" spans="1:18" s="9" customFormat="1" ht="72" customHeight="1">
      <c r="A53" s="38"/>
      <c r="B53" s="62">
        <v>75702</v>
      </c>
      <c r="C53" s="62" t="s">
        <v>25</v>
      </c>
      <c r="D53" s="47">
        <v>273800</v>
      </c>
      <c r="E53" s="129" t="s">
        <v>145</v>
      </c>
      <c r="F53" s="240">
        <v>1031665</v>
      </c>
      <c r="G53" s="130">
        <f>H53+I53</f>
        <v>1928514</v>
      </c>
      <c r="H53" s="130"/>
      <c r="I53" s="130">
        <f>SUM(J53:R53)</f>
        <v>1928514</v>
      </c>
      <c r="J53" s="131"/>
      <c r="K53" s="131"/>
      <c r="L53" s="130"/>
      <c r="M53" s="130"/>
      <c r="N53" s="130"/>
      <c r="O53" s="130"/>
      <c r="P53" s="130"/>
      <c r="Q53" s="131"/>
      <c r="R53" s="131">
        <v>1928514</v>
      </c>
    </row>
    <row r="54" spans="1:18" s="9" customFormat="1" ht="86.25" customHeight="1" thickBot="1">
      <c r="A54" s="38"/>
      <c r="B54" s="75">
        <v>75704</v>
      </c>
      <c r="C54" s="75" t="s">
        <v>166</v>
      </c>
      <c r="D54" s="76"/>
      <c r="E54" s="132" t="s">
        <v>145</v>
      </c>
      <c r="F54" s="242">
        <v>0</v>
      </c>
      <c r="G54" s="133">
        <f>H54+I54</f>
        <v>417759</v>
      </c>
      <c r="H54" s="133"/>
      <c r="I54" s="133">
        <f>SUM(J54:R54)</f>
        <v>417759</v>
      </c>
      <c r="J54" s="134"/>
      <c r="K54" s="134"/>
      <c r="L54" s="133"/>
      <c r="M54" s="133"/>
      <c r="N54" s="133"/>
      <c r="O54" s="133"/>
      <c r="P54" s="133"/>
      <c r="Q54" s="134">
        <v>417759</v>
      </c>
      <c r="R54" s="134"/>
    </row>
    <row r="55" spans="1:18" s="9" customFormat="1" ht="24.75" customHeight="1" thickBot="1">
      <c r="A55" s="276">
        <v>758</v>
      </c>
      <c r="B55" s="276"/>
      <c r="C55" s="270" t="s">
        <v>26</v>
      </c>
      <c r="D55" s="271">
        <f>SUM(D56:D56)</f>
        <v>108350</v>
      </c>
      <c r="E55" s="272"/>
      <c r="F55" s="235">
        <f>F56</f>
        <v>1961490</v>
      </c>
      <c r="G55" s="273">
        <f>G56</f>
        <v>2201644</v>
      </c>
      <c r="H55" s="273">
        <f>H59</f>
        <v>200000</v>
      </c>
      <c r="I55" s="273">
        <f>I56</f>
        <v>2001644</v>
      </c>
      <c r="J55" s="274"/>
      <c r="K55" s="274">
        <f>K56</f>
        <v>2001644</v>
      </c>
      <c r="L55" s="273"/>
      <c r="M55" s="273"/>
      <c r="N55" s="273"/>
      <c r="O55" s="273"/>
      <c r="P55" s="273"/>
      <c r="Q55" s="273"/>
      <c r="R55" s="273"/>
    </row>
    <row r="56" spans="1:18" s="9" customFormat="1" ht="24">
      <c r="A56" s="334"/>
      <c r="B56" s="39">
        <v>75818</v>
      </c>
      <c r="C56" s="44" t="s">
        <v>74</v>
      </c>
      <c r="D56" s="45">
        <v>108350</v>
      </c>
      <c r="E56" s="94" t="s">
        <v>145</v>
      </c>
      <c r="F56" s="236">
        <f>F57+F58+F59+F60+F61</f>
        <v>1961490</v>
      </c>
      <c r="G56" s="95">
        <f>G57+G58+G59+G60+G61</f>
        <v>2201644</v>
      </c>
      <c r="H56" s="95">
        <f>H59</f>
        <v>200000</v>
      </c>
      <c r="I56" s="95">
        <f>I57+I58+I59+I60+I61</f>
        <v>2001644</v>
      </c>
      <c r="J56" s="103"/>
      <c r="K56" s="103">
        <f>K57+K58+K59+K60+K61</f>
        <v>2001644</v>
      </c>
      <c r="L56" s="95"/>
      <c r="M56" s="95"/>
      <c r="N56" s="95"/>
      <c r="O56" s="95"/>
      <c r="P56" s="95"/>
      <c r="Q56" s="95"/>
      <c r="R56" s="95"/>
    </row>
    <row r="57" spans="1:18" s="9" customFormat="1" ht="17.25" customHeight="1">
      <c r="A57" s="334"/>
      <c r="B57" s="37"/>
      <c r="C57" s="84" t="s">
        <v>75</v>
      </c>
      <c r="D57" s="11"/>
      <c r="E57" s="117"/>
      <c r="F57" s="246">
        <v>250000</v>
      </c>
      <c r="G57" s="118">
        <f>I57</f>
        <v>300000</v>
      </c>
      <c r="H57" s="118"/>
      <c r="I57" s="118">
        <f>SUM(J57:R57)</f>
        <v>300000</v>
      </c>
      <c r="J57" s="119"/>
      <c r="K57" s="119">
        <v>300000</v>
      </c>
      <c r="L57" s="118"/>
      <c r="M57" s="118"/>
      <c r="N57" s="118"/>
      <c r="O57" s="118"/>
      <c r="P57" s="118"/>
      <c r="Q57" s="118"/>
      <c r="R57" s="118"/>
    </row>
    <row r="58" spans="1:18" s="9" customFormat="1" ht="24">
      <c r="A58" s="334"/>
      <c r="B58" s="38"/>
      <c r="C58" s="84" t="s">
        <v>76</v>
      </c>
      <c r="D58" s="11"/>
      <c r="E58" s="117"/>
      <c r="F58" s="246">
        <v>1485981</v>
      </c>
      <c r="G58" s="118">
        <f>I58</f>
        <v>1637294</v>
      </c>
      <c r="H58" s="118"/>
      <c r="I58" s="118">
        <f>SUM(J58:R58)</f>
        <v>1637294</v>
      </c>
      <c r="J58" s="119"/>
      <c r="K58" s="119">
        <v>1637294</v>
      </c>
      <c r="L58" s="118"/>
      <c r="M58" s="118"/>
      <c r="N58" s="118"/>
      <c r="O58" s="118"/>
      <c r="P58" s="118"/>
      <c r="Q58" s="118"/>
      <c r="R58" s="118"/>
    </row>
    <row r="59" spans="1:18" s="9" customFormat="1" ht="36">
      <c r="A59" s="334"/>
      <c r="B59" s="38"/>
      <c r="C59" s="84" t="s">
        <v>77</v>
      </c>
      <c r="D59" s="11"/>
      <c r="E59" s="117"/>
      <c r="F59" s="246">
        <v>164409</v>
      </c>
      <c r="G59" s="118">
        <f>I59+H59</f>
        <v>200000</v>
      </c>
      <c r="H59" s="118">
        <v>200000</v>
      </c>
      <c r="I59" s="118">
        <f>SUM(J59:R59)</f>
        <v>0</v>
      </c>
      <c r="J59" s="119"/>
      <c r="K59" s="119"/>
      <c r="L59" s="118"/>
      <c r="M59" s="118"/>
      <c r="N59" s="118"/>
      <c r="O59" s="118"/>
      <c r="P59" s="118"/>
      <c r="Q59" s="118"/>
      <c r="R59" s="118"/>
    </row>
    <row r="60" spans="1:18" s="9" customFormat="1" ht="48">
      <c r="A60" s="334"/>
      <c r="B60" s="38"/>
      <c r="C60" s="84" t="s">
        <v>78</v>
      </c>
      <c r="D60" s="11"/>
      <c r="E60" s="117"/>
      <c r="F60" s="246">
        <v>10000</v>
      </c>
      <c r="G60" s="118">
        <f>I60</f>
        <v>10000</v>
      </c>
      <c r="H60" s="118"/>
      <c r="I60" s="118">
        <f>SUM(J60:R60)</f>
        <v>10000</v>
      </c>
      <c r="J60" s="119"/>
      <c r="K60" s="119">
        <v>10000</v>
      </c>
      <c r="L60" s="118"/>
      <c r="M60" s="118"/>
      <c r="N60" s="118"/>
      <c r="O60" s="118"/>
      <c r="P60" s="118"/>
      <c r="Q60" s="118"/>
      <c r="R60" s="118"/>
    </row>
    <row r="61" spans="1:18" s="9" customFormat="1" ht="48.75" thickBot="1">
      <c r="A61" s="334"/>
      <c r="B61" s="57"/>
      <c r="C61" s="93" t="s">
        <v>79</v>
      </c>
      <c r="D61" s="48"/>
      <c r="E61" s="99"/>
      <c r="F61" s="237">
        <v>51100</v>
      </c>
      <c r="G61" s="118">
        <f>I61</f>
        <v>54350</v>
      </c>
      <c r="H61" s="100"/>
      <c r="I61" s="118">
        <f>SUM(J61:R61)</f>
        <v>54350</v>
      </c>
      <c r="J61" s="104"/>
      <c r="K61" s="104">
        <v>54350</v>
      </c>
      <c r="L61" s="100"/>
      <c r="M61" s="100"/>
      <c r="N61" s="100"/>
      <c r="O61" s="100"/>
      <c r="P61" s="100"/>
      <c r="Q61" s="100"/>
      <c r="R61" s="100"/>
    </row>
    <row r="62" spans="1:18" s="14" customFormat="1" ht="24.75" thickBot="1">
      <c r="A62" s="278">
        <v>801</v>
      </c>
      <c r="B62" s="278"/>
      <c r="C62" s="279" t="s">
        <v>27</v>
      </c>
      <c r="D62" s="280">
        <f>SUM(D63:D75)</f>
        <v>10299462</v>
      </c>
      <c r="E62" s="281"/>
      <c r="F62" s="235">
        <f>F63+F73+F76+F88+F90+F94+F97</f>
        <v>42284448</v>
      </c>
      <c r="G62" s="273">
        <f>G63+G73+G76+G88+G90+G94+G97</f>
        <v>46519795</v>
      </c>
      <c r="H62" s="273">
        <f>H63+H76</f>
        <v>5288614</v>
      </c>
      <c r="I62" s="273">
        <f aca="true" t="shared" si="5" ref="I62:R62">I63+I73+I76+I88+I90+I94+I97</f>
        <v>41231181</v>
      </c>
      <c r="J62" s="273">
        <f t="shared" si="5"/>
        <v>30810372</v>
      </c>
      <c r="K62" s="273">
        <f t="shared" si="5"/>
        <v>6164035</v>
      </c>
      <c r="L62" s="273">
        <f t="shared" si="5"/>
        <v>3228267</v>
      </c>
      <c r="M62" s="273">
        <f t="shared" si="5"/>
        <v>233910</v>
      </c>
      <c r="N62" s="273">
        <f t="shared" si="5"/>
        <v>361610</v>
      </c>
      <c r="O62" s="273">
        <f t="shared" si="5"/>
        <v>432987</v>
      </c>
      <c r="P62" s="273">
        <f t="shared" si="5"/>
        <v>0</v>
      </c>
      <c r="Q62" s="273">
        <f t="shared" si="5"/>
        <v>0</v>
      </c>
      <c r="R62" s="273">
        <f t="shared" si="5"/>
        <v>0</v>
      </c>
    </row>
    <row r="63" spans="1:18" ht="24">
      <c r="A63" s="388"/>
      <c r="B63" s="79">
        <v>80120</v>
      </c>
      <c r="C63" s="80" t="s">
        <v>80</v>
      </c>
      <c r="D63" s="45">
        <v>5210801</v>
      </c>
      <c r="E63" s="201"/>
      <c r="F63" s="236">
        <f>F64+F65+F66+F67+F68+F69+F70+F71+F72</f>
        <v>15152725</v>
      </c>
      <c r="G63" s="135">
        <f>G64+G65+G66+G67+G68+G69+G70+G71+G72</f>
        <v>14255478</v>
      </c>
      <c r="H63" s="135">
        <f>H72</f>
        <v>120000</v>
      </c>
      <c r="I63" s="135">
        <f aca="true" t="shared" si="6" ref="I63:R63">I64+I65+I66+I67+I68+I69+I70+I71</f>
        <v>14135478</v>
      </c>
      <c r="J63" s="135">
        <f t="shared" si="6"/>
        <v>10734668</v>
      </c>
      <c r="K63" s="135">
        <f t="shared" si="6"/>
        <v>1689854</v>
      </c>
      <c r="L63" s="135">
        <f t="shared" si="6"/>
        <v>1704956</v>
      </c>
      <c r="M63" s="135">
        <f t="shared" si="6"/>
        <v>6000</v>
      </c>
      <c r="N63" s="135">
        <f t="shared" si="6"/>
        <v>0</v>
      </c>
      <c r="O63" s="135">
        <f t="shared" si="6"/>
        <v>0</v>
      </c>
      <c r="P63" s="135">
        <f t="shared" si="6"/>
        <v>0</v>
      </c>
      <c r="Q63" s="135">
        <f t="shared" si="6"/>
        <v>0</v>
      </c>
      <c r="R63" s="135">
        <f t="shared" si="6"/>
        <v>0</v>
      </c>
    </row>
    <row r="64" spans="1:18" s="9" customFormat="1" ht="24.75" customHeight="1">
      <c r="A64" s="388"/>
      <c r="B64" s="337"/>
      <c r="C64" s="338"/>
      <c r="D64" s="11">
        <v>178466</v>
      </c>
      <c r="E64" s="111" t="s">
        <v>81</v>
      </c>
      <c r="F64" s="238">
        <v>3302478</v>
      </c>
      <c r="G64" s="112">
        <f>H64+I64</f>
        <v>3425707</v>
      </c>
      <c r="H64" s="112"/>
      <c r="I64" s="112">
        <f>SUM(J64:R64)</f>
        <v>3425707</v>
      </c>
      <c r="J64" s="136">
        <v>2873387</v>
      </c>
      <c r="K64" s="136">
        <v>550320</v>
      </c>
      <c r="L64" s="136"/>
      <c r="M64" s="112">
        <v>2000</v>
      </c>
      <c r="N64" s="137"/>
      <c r="O64" s="137"/>
      <c r="P64" s="137"/>
      <c r="Q64" s="137"/>
      <c r="R64" s="137"/>
    </row>
    <row r="65" spans="1:18" s="9" customFormat="1" ht="23.25" customHeight="1">
      <c r="A65" s="388"/>
      <c r="B65" s="339"/>
      <c r="C65" s="340"/>
      <c r="D65" s="11">
        <v>1893202</v>
      </c>
      <c r="E65" s="203" t="s">
        <v>82</v>
      </c>
      <c r="F65" s="244">
        <v>2312457</v>
      </c>
      <c r="G65" s="138">
        <f>H65+I65</f>
        <v>2100461</v>
      </c>
      <c r="H65" s="138"/>
      <c r="I65" s="138">
        <f>SUM(J65:R65)</f>
        <v>2100461</v>
      </c>
      <c r="J65" s="139">
        <v>1824478</v>
      </c>
      <c r="K65" s="139">
        <v>273983</v>
      </c>
      <c r="L65" s="139"/>
      <c r="M65" s="138">
        <v>2000</v>
      </c>
      <c r="N65" s="140"/>
      <c r="O65" s="140"/>
      <c r="P65" s="140"/>
      <c r="Q65" s="140"/>
      <c r="R65" s="140"/>
    </row>
    <row r="66" spans="1:18" ht="26.25" customHeight="1">
      <c r="A66" s="388"/>
      <c r="B66" s="339"/>
      <c r="C66" s="340"/>
      <c r="D66" s="11">
        <v>1935670</v>
      </c>
      <c r="E66" s="203" t="s">
        <v>83</v>
      </c>
      <c r="F66" s="244">
        <v>2872377</v>
      </c>
      <c r="G66" s="138">
        <f aca="true" t="shared" si="7" ref="G66:G71">H66+I66</f>
        <v>2866811</v>
      </c>
      <c r="H66" s="138"/>
      <c r="I66" s="138">
        <f aca="true" t="shared" si="8" ref="I66:I71">SUM(J66:R66)</f>
        <v>2866811</v>
      </c>
      <c r="J66" s="139">
        <v>2514586</v>
      </c>
      <c r="K66" s="139">
        <v>352225</v>
      </c>
      <c r="L66" s="139"/>
      <c r="M66" s="138">
        <v>0</v>
      </c>
      <c r="N66" s="140"/>
      <c r="O66" s="140"/>
      <c r="P66" s="140"/>
      <c r="Q66" s="140"/>
      <c r="R66" s="140"/>
    </row>
    <row r="67" spans="1:18" s="4" customFormat="1" ht="18" customHeight="1">
      <c r="A67" s="388"/>
      <c r="B67" s="339"/>
      <c r="C67" s="340"/>
      <c r="D67" s="11">
        <v>416799</v>
      </c>
      <c r="E67" s="203" t="s">
        <v>84</v>
      </c>
      <c r="F67" s="244">
        <v>1662896</v>
      </c>
      <c r="G67" s="138">
        <f t="shared" si="7"/>
        <v>1788301</v>
      </c>
      <c r="H67" s="138"/>
      <c r="I67" s="138">
        <f t="shared" si="8"/>
        <v>1788301</v>
      </c>
      <c r="J67" s="139">
        <v>1576282</v>
      </c>
      <c r="K67" s="139">
        <v>212019</v>
      </c>
      <c r="L67" s="139"/>
      <c r="M67" s="138">
        <v>0</v>
      </c>
      <c r="N67" s="140"/>
      <c r="O67" s="140"/>
      <c r="P67" s="140"/>
      <c r="Q67" s="140"/>
      <c r="R67" s="140"/>
    </row>
    <row r="68" spans="1:18" s="4" customFormat="1" ht="23.25" customHeight="1">
      <c r="A68" s="388"/>
      <c r="B68" s="339"/>
      <c r="C68" s="340"/>
      <c r="D68" s="11"/>
      <c r="E68" s="203" t="s">
        <v>160</v>
      </c>
      <c r="F68" s="244">
        <v>2138337</v>
      </c>
      <c r="G68" s="138">
        <f t="shared" si="7"/>
        <v>2187889</v>
      </c>
      <c r="H68" s="138"/>
      <c r="I68" s="138">
        <f t="shared" si="8"/>
        <v>2187889</v>
      </c>
      <c r="J68" s="139">
        <v>1897978</v>
      </c>
      <c r="K68" s="139">
        <v>287911</v>
      </c>
      <c r="L68" s="139"/>
      <c r="M68" s="138">
        <v>2000</v>
      </c>
      <c r="N68" s="140"/>
      <c r="O68" s="140"/>
      <c r="P68" s="140"/>
      <c r="Q68" s="140"/>
      <c r="R68" s="140"/>
    </row>
    <row r="69" spans="1:18" s="4" customFormat="1" ht="24.75" customHeight="1">
      <c r="A69" s="388"/>
      <c r="B69" s="339"/>
      <c r="C69" s="340"/>
      <c r="D69" s="11">
        <v>50386</v>
      </c>
      <c r="E69" s="203" t="s">
        <v>85</v>
      </c>
      <c r="F69" s="244">
        <v>68296</v>
      </c>
      <c r="G69" s="138">
        <f t="shared" si="7"/>
        <v>0</v>
      </c>
      <c r="H69" s="138"/>
      <c r="I69" s="138">
        <f t="shared" si="8"/>
        <v>0</v>
      </c>
      <c r="J69" s="139">
        <v>0</v>
      </c>
      <c r="K69" s="139">
        <v>0</v>
      </c>
      <c r="L69" s="139"/>
      <c r="M69" s="138"/>
      <c r="N69" s="140"/>
      <c r="O69" s="140"/>
      <c r="P69" s="140"/>
      <c r="Q69" s="140"/>
      <c r="R69" s="140"/>
    </row>
    <row r="70" spans="1:18" s="4" customFormat="1" ht="24.75" customHeight="1">
      <c r="A70" s="388"/>
      <c r="B70" s="339"/>
      <c r="C70" s="340"/>
      <c r="D70" s="11"/>
      <c r="E70" s="203" t="s">
        <v>86</v>
      </c>
      <c r="F70" s="244">
        <v>49289</v>
      </c>
      <c r="G70" s="138">
        <f t="shared" si="7"/>
        <v>61353</v>
      </c>
      <c r="H70" s="138"/>
      <c r="I70" s="138">
        <f t="shared" si="8"/>
        <v>61353</v>
      </c>
      <c r="J70" s="139">
        <v>47957</v>
      </c>
      <c r="K70" s="139">
        <v>13396</v>
      </c>
      <c r="L70" s="139"/>
      <c r="M70" s="138">
        <v>0</v>
      </c>
      <c r="N70" s="140"/>
      <c r="O70" s="140"/>
      <c r="P70" s="140"/>
      <c r="Q70" s="140"/>
      <c r="R70" s="140"/>
    </row>
    <row r="71" spans="1:18" s="4" customFormat="1" ht="16.5" customHeight="1">
      <c r="A71" s="388"/>
      <c r="B71" s="339"/>
      <c r="C71" s="340"/>
      <c r="D71" s="11">
        <v>614138</v>
      </c>
      <c r="E71" s="203" t="s">
        <v>154</v>
      </c>
      <c r="F71" s="244">
        <v>1340275</v>
      </c>
      <c r="G71" s="138">
        <f t="shared" si="7"/>
        <v>1704956</v>
      </c>
      <c r="H71" s="138"/>
      <c r="I71" s="138">
        <f t="shared" si="8"/>
        <v>1704956</v>
      </c>
      <c r="J71" s="139"/>
      <c r="K71" s="139"/>
      <c r="L71" s="139">
        <v>1704956</v>
      </c>
      <c r="M71" s="138"/>
      <c r="N71" s="140"/>
      <c r="O71" s="140"/>
      <c r="P71" s="140"/>
      <c r="Q71" s="140"/>
      <c r="R71" s="140"/>
    </row>
    <row r="72" spans="1:18" s="4" customFormat="1" ht="15.75" customHeight="1">
      <c r="A72" s="388"/>
      <c r="B72" s="81"/>
      <c r="C72" s="82"/>
      <c r="D72" s="11"/>
      <c r="E72" s="204" t="s">
        <v>152</v>
      </c>
      <c r="F72" s="245">
        <v>1406320</v>
      </c>
      <c r="G72" s="141">
        <f>H72+I72</f>
        <v>120000</v>
      </c>
      <c r="H72" s="141">
        <v>120000</v>
      </c>
      <c r="I72" s="141"/>
      <c r="J72" s="142"/>
      <c r="K72" s="142"/>
      <c r="L72" s="142"/>
      <c r="M72" s="141"/>
      <c r="N72" s="143"/>
      <c r="O72" s="143"/>
      <c r="P72" s="143"/>
      <c r="Q72" s="143"/>
      <c r="R72" s="143"/>
    </row>
    <row r="73" spans="1:18" s="4" customFormat="1" ht="18.75" customHeight="1">
      <c r="A73" s="388"/>
      <c r="B73" s="83">
        <v>80123</v>
      </c>
      <c r="C73" s="84" t="s">
        <v>87</v>
      </c>
      <c r="D73" s="11"/>
      <c r="E73" s="199"/>
      <c r="F73" s="246">
        <f>F74+F75</f>
        <v>1039094</v>
      </c>
      <c r="G73" s="144">
        <f>G74+G75</f>
        <v>863328</v>
      </c>
      <c r="H73" s="144">
        <f>H74+H75</f>
        <v>0</v>
      </c>
      <c r="I73" s="144">
        <f aca="true" t="shared" si="9" ref="I73:R73">I74+I75</f>
        <v>863328</v>
      </c>
      <c r="J73" s="144">
        <f t="shared" si="9"/>
        <v>787317</v>
      </c>
      <c r="K73" s="144">
        <f t="shared" si="9"/>
        <v>75511</v>
      </c>
      <c r="L73" s="144">
        <f t="shared" si="9"/>
        <v>0</v>
      </c>
      <c r="M73" s="144">
        <f t="shared" si="9"/>
        <v>500</v>
      </c>
      <c r="N73" s="144">
        <f t="shared" si="9"/>
        <v>0</v>
      </c>
      <c r="O73" s="144">
        <f t="shared" si="9"/>
        <v>0</v>
      </c>
      <c r="P73" s="144">
        <f t="shared" si="9"/>
        <v>0</v>
      </c>
      <c r="Q73" s="144">
        <f t="shared" si="9"/>
        <v>0</v>
      </c>
      <c r="R73" s="144">
        <f t="shared" si="9"/>
        <v>0</v>
      </c>
    </row>
    <row r="74" spans="1:18" s="4" customFormat="1" ht="30" customHeight="1">
      <c r="A74" s="388"/>
      <c r="B74" s="337"/>
      <c r="C74" s="338"/>
      <c r="D74" s="11"/>
      <c r="E74" s="111" t="s">
        <v>161</v>
      </c>
      <c r="F74" s="238">
        <v>919460</v>
      </c>
      <c r="G74" s="112">
        <f>H74+I74</f>
        <v>863328</v>
      </c>
      <c r="H74" s="112">
        <v>0</v>
      </c>
      <c r="I74" s="112">
        <f>SUM(J74:R74)</f>
        <v>863328</v>
      </c>
      <c r="J74" s="136">
        <v>787317</v>
      </c>
      <c r="K74" s="136">
        <v>75511</v>
      </c>
      <c r="L74" s="136"/>
      <c r="M74" s="112">
        <v>500</v>
      </c>
      <c r="N74" s="137"/>
      <c r="O74" s="137"/>
      <c r="P74" s="137"/>
      <c r="Q74" s="137"/>
      <c r="R74" s="137"/>
    </row>
    <row r="75" spans="1:18" s="4" customFormat="1" ht="24" customHeight="1">
      <c r="A75" s="388"/>
      <c r="B75" s="339"/>
      <c r="C75" s="340"/>
      <c r="D75" s="11"/>
      <c r="E75" s="204" t="s">
        <v>86</v>
      </c>
      <c r="F75" s="245">
        <v>119634</v>
      </c>
      <c r="G75" s="141">
        <f>H75+I75</f>
        <v>0</v>
      </c>
      <c r="H75" s="141">
        <v>0</v>
      </c>
      <c r="I75" s="141">
        <f>SUM(J75:R75)</f>
        <v>0</v>
      </c>
      <c r="J75" s="142">
        <v>0</v>
      </c>
      <c r="K75" s="142">
        <v>0</v>
      </c>
      <c r="L75" s="142">
        <v>0</v>
      </c>
      <c r="M75" s="141">
        <v>0</v>
      </c>
      <c r="N75" s="143"/>
      <c r="O75" s="143"/>
      <c r="P75" s="143"/>
      <c r="Q75" s="143"/>
      <c r="R75" s="143"/>
    </row>
    <row r="76" spans="1:18" ht="21.75" customHeight="1">
      <c r="A76" s="388"/>
      <c r="B76" s="83">
        <v>80130</v>
      </c>
      <c r="C76" s="84" t="s">
        <v>88</v>
      </c>
      <c r="D76" s="11"/>
      <c r="E76" s="199"/>
      <c r="F76" s="246">
        <f>F77+F78+F79+F80+F81+F82+F83+F84+F85+F86+F87</f>
        <v>23859951</v>
      </c>
      <c r="G76" s="144">
        <f>G77+G78+G79+G80+G81+G82+G83+G84+G85+G86+G87</f>
        <v>28822569</v>
      </c>
      <c r="H76" s="144">
        <f>H77+H78+H79+H80+H81+H82+H83+H84+H85+H86+H87</f>
        <v>5168614</v>
      </c>
      <c r="I76" s="144">
        <f aca="true" t="shared" si="10" ref="I76:R76">I77+I78+I79+I80+I81+I82+I83+I84+I85+I86</f>
        <v>23653955</v>
      </c>
      <c r="J76" s="144">
        <f t="shared" si="10"/>
        <v>18353269</v>
      </c>
      <c r="K76" s="144">
        <f t="shared" si="10"/>
        <v>3596450</v>
      </c>
      <c r="L76" s="144">
        <f t="shared" si="10"/>
        <v>1523311</v>
      </c>
      <c r="M76" s="144">
        <f t="shared" si="10"/>
        <v>180925</v>
      </c>
      <c r="N76" s="144">
        <f t="shared" si="10"/>
        <v>0</v>
      </c>
      <c r="O76" s="144">
        <f t="shared" si="10"/>
        <v>0</v>
      </c>
      <c r="P76" s="144">
        <f t="shared" si="10"/>
        <v>0</v>
      </c>
      <c r="Q76" s="144">
        <f t="shared" si="10"/>
        <v>0</v>
      </c>
      <c r="R76" s="144">
        <f t="shared" si="10"/>
        <v>0</v>
      </c>
    </row>
    <row r="77" spans="1:18" ht="26.25" customHeight="1">
      <c r="A77" s="388"/>
      <c r="B77" s="337"/>
      <c r="C77" s="338"/>
      <c r="D77" s="11"/>
      <c r="E77" s="111" t="s">
        <v>89</v>
      </c>
      <c r="F77" s="238">
        <v>3333258</v>
      </c>
      <c r="G77" s="112">
        <f>H77+I77</f>
        <v>3198737</v>
      </c>
      <c r="H77" s="112"/>
      <c r="I77" s="112">
        <f>SUM(J77:R77)</f>
        <v>3198737</v>
      </c>
      <c r="J77" s="145">
        <v>2564175</v>
      </c>
      <c r="K77" s="113">
        <v>632562</v>
      </c>
      <c r="L77" s="113"/>
      <c r="M77" s="112">
        <v>2000</v>
      </c>
      <c r="N77" s="112"/>
      <c r="O77" s="112"/>
      <c r="P77" s="112"/>
      <c r="Q77" s="112"/>
      <c r="R77" s="112"/>
    </row>
    <row r="78" spans="1:18" ht="25.5" customHeight="1">
      <c r="A78" s="388"/>
      <c r="B78" s="339"/>
      <c r="C78" s="340"/>
      <c r="D78" s="11"/>
      <c r="E78" s="203" t="s">
        <v>90</v>
      </c>
      <c r="F78" s="244">
        <v>5203052</v>
      </c>
      <c r="G78" s="138">
        <f>H78+I78</f>
        <v>5063797</v>
      </c>
      <c r="H78" s="138"/>
      <c r="I78" s="138">
        <f>SUM(J78:R78)</f>
        <v>5063797</v>
      </c>
      <c r="J78" s="146">
        <v>4463982</v>
      </c>
      <c r="K78" s="147">
        <v>599215</v>
      </c>
      <c r="L78" s="147"/>
      <c r="M78" s="138">
        <v>600</v>
      </c>
      <c r="N78" s="138"/>
      <c r="O78" s="138"/>
      <c r="P78" s="138"/>
      <c r="Q78" s="138"/>
      <c r="R78" s="138"/>
    </row>
    <row r="79" spans="1:18" ht="25.5" customHeight="1">
      <c r="A79" s="388"/>
      <c r="B79" s="339"/>
      <c r="C79" s="340"/>
      <c r="D79" s="11"/>
      <c r="E79" s="203" t="s">
        <v>91</v>
      </c>
      <c r="F79" s="244">
        <v>2707199</v>
      </c>
      <c r="G79" s="138">
        <f aca="true" t="shared" si="11" ref="G79:G86">H79+I79</f>
        <v>2675640</v>
      </c>
      <c r="H79" s="138"/>
      <c r="I79" s="138">
        <f aca="true" t="shared" si="12" ref="I79:I86">SUM(J79:R79)</f>
        <v>2675640</v>
      </c>
      <c r="J79" s="146">
        <v>2268020</v>
      </c>
      <c r="K79" s="147">
        <v>407620</v>
      </c>
      <c r="L79" s="147"/>
      <c r="M79" s="138">
        <v>0</v>
      </c>
      <c r="N79" s="138"/>
      <c r="O79" s="138"/>
      <c r="P79" s="138"/>
      <c r="Q79" s="138"/>
      <c r="R79" s="138"/>
    </row>
    <row r="80" spans="1:18" ht="24" customHeight="1">
      <c r="A80" s="388"/>
      <c r="B80" s="339"/>
      <c r="C80" s="340"/>
      <c r="D80" s="11"/>
      <c r="E80" s="203" t="s">
        <v>161</v>
      </c>
      <c r="F80" s="244">
        <v>730898</v>
      </c>
      <c r="G80" s="138">
        <f t="shared" si="11"/>
        <v>898411</v>
      </c>
      <c r="H80" s="138"/>
      <c r="I80" s="138">
        <f t="shared" si="12"/>
        <v>898411</v>
      </c>
      <c r="J80" s="146">
        <v>605676</v>
      </c>
      <c r="K80" s="147">
        <v>292235</v>
      </c>
      <c r="L80" s="147"/>
      <c r="M80" s="138">
        <v>500</v>
      </c>
      <c r="N80" s="138"/>
      <c r="O80" s="138"/>
      <c r="P80" s="138"/>
      <c r="Q80" s="138"/>
      <c r="R80" s="138"/>
    </row>
    <row r="81" spans="1:18" ht="25.5" customHeight="1">
      <c r="A81" s="388"/>
      <c r="B81" s="339"/>
      <c r="C81" s="340"/>
      <c r="D81" s="11"/>
      <c r="E81" s="203" t="s">
        <v>92</v>
      </c>
      <c r="F81" s="244">
        <v>2288821</v>
      </c>
      <c r="G81" s="138">
        <f t="shared" si="11"/>
        <v>2393707</v>
      </c>
      <c r="H81" s="138"/>
      <c r="I81" s="138">
        <f t="shared" si="12"/>
        <v>2393707</v>
      </c>
      <c r="J81" s="146">
        <v>2148975</v>
      </c>
      <c r="K81" s="147">
        <v>242732</v>
      </c>
      <c r="L81" s="147"/>
      <c r="M81" s="138">
        <v>2000</v>
      </c>
      <c r="N81" s="138"/>
      <c r="O81" s="138"/>
      <c r="P81" s="138"/>
      <c r="Q81" s="138"/>
      <c r="R81" s="138"/>
    </row>
    <row r="82" spans="1:18" ht="24" customHeight="1">
      <c r="A82" s="388"/>
      <c r="B82" s="339"/>
      <c r="C82" s="340"/>
      <c r="D82" s="11"/>
      <c r="E82" s="203" t="s">
        <v>85</v>
      </c>
      <c r="F82" s="244">
        <v>1504818</v>
      </c>
      <c r="G82" s="138">
        <f t="shared" si="11"/>
        <v>1495512</v>
      </c>
      <c r="H82" s="138"/>
      <c r="I82" s="138">
        <f t="shared" si="12"/>
        <v>1495512</v>
      </c>
      <c r="J82" s="146">
        <v>1138452</v>
      </c>
      <c r="K82" s="147">
        <v>355060</v>
      </c>
      <c r="L82" s="147"/>
      <c r="M82" s="138">
        <v>2000</v>
      </c>
      <c r="N82" s="138"/>
      <c r="O82" s="138"/>
      <c r="P82" s="138"/>
      <c r="Q82" s="138"/>
      <c r="R82" s="138"/>
    </row>
    <row r="83" spans="1:18" ht="22.5" customHeight="1">
      <c r="A83" s="388"/>
      <c r="B83" s="339"/>
      <c r="C83" s="340"/>
      <c r="D83" s="11"/>
      <c r="E83" s="203" t="s">
        <v>86</v>
      </c>
      <c r="F83" s="244">
        <v>739841</v>
      </c>
      <c r="G83" s="138">
        <f t="shared" si="11"/>
        <v>823710</v>
      </c>
      <c r="H83" s="138"/>
      <c r="I83" s="138">
        <f t="shared" si="12"/>
        <v>823710</v>
      </c>
      <c r="J83" s="146">
        <v>660927</v>
      </c>
      <c r="K83" s="147">
        <v>115965</v>
      </c>
      <c r="L83" s="147"/>
      <c r="M83" s="138">
        <v>46818</v>
      </c>
      <c r="N83" s="138"/>
      <c r="O83" s="138"/>
      <c r="P83" s="138"/>
      <c r="Q83" s="138"/>
      <c r="R83" s="138"/>
    </row>
    <row r="84" spans="1:18" ht="34.5" customHeight="1">
      <c r="A84" s="388"/>
      <c r="B84" s="339"/>
      <c r="C84" s="340"/>
      <c r="D84" s="11"/>
      <c r="E84" s="203" t="s">
        <v>93</v>
      </c>
      <c r="F84" s="244">
        <v>2696069</v>
      </c>
      <c r="G84" s="138">
        <f t="shared" si="11"/>
        <v>2656015</v>
      </c>
      <c r="H84" s="138"/>
      <c r="I84" s="138">
        <f t="shared" si="12"/>
        <v>2656015</v>
      </c>
      <c r="J84" s="146">
        <v>1915102</v>
      </c>
      <c r="K84" s="147">
        <v>615906</v>
      </c>
      <c r="L84" s="147"/>
      <c r="M84" s="138">
        <v>125007</v>
      </c>
      <c r="N84" s="138"/>
      <c r="O84" s="138"/>
      <c r="P84" s="138"/>
      <c r="Q84" s="138"/>
      <c r="R84" s="138"/>
    </row>
    <row r="85" spans="1:18" ht="24.75" customHeight="1">
      <c r="A85" s="388"/>
      <c r="B85" s="339"/>
      <c r="C85" s="340"/>
      <c r="D85" s="11"/>
      <c r="E85" s="203" t="s">
        <v>94</v>
      </c>
      <c r="F85" s="244">
        <v>2889502</v>
      </c>
      <c r="G85" s="138">
        <f t="shared" si="11"/>
        <v>2925115</v>
      </c>
      <c r="H85" s="138"/>
      <c r="I85" s="138">
        <f t="shared" si="12"/>
        <v>2925115</v>
      </c>
      <c r="J85" s="146">
        <v>2587960</v>
      </c>
      <c r="K85" s="147">
        <v>335155</v>
      </c>
      <c r="L85" s="147"/>
      <c r="M85" s="138">
        <v>2000</v>
      </c>
      <c r="N85" s="138"/>
      <c r="O85" s="138"/>
      <c r="P85" s="138"/>
      <c r="Q85" s="138"/>
      <c r="R85" s="138"/>
    </row>
    <row r="86" spans="1:18" ht="18" customHeight="1">
      <c r="A86" s="388"/>
      <c r="B86" s="339"/>
      <c r="C86" s="340"/>
      <c r="D86" s="11"/>
      <c r="E86" s="203" t="s">
        <v>154</v>
      </c>
      <c r="F86" s="244">
        <v>1064963</v>
      </c>
      <c r="G86" s="138">
        <f t="shared" si="11"/>
        <v>1523311</v>
      </c>
      <c r="H86" s="138"/>
      <c r="I86" s="138">
        <f t="shared" si="12"/>
        <v>1523311</v>
      </c>
      <c r="J86" s="146"/>
      <c r="K86" s="147"/>
      <c r="L86" s="147">
        <f>601704+587244+261283+73080</f>
        <v>1523311</v>
      </c>
      <c r="M86" s="138"/>
      <c r="N86" s="138"/>
      <c r="O86" s="138"/>
      <c r="P86" s="138"/>
      <c r="Q86" s="138"/>
      <c r="R86" s="138"/>
    </row>
    <row r="87" spans="1:18" ht="17.25" customHeight="1">
      <c r="A87" s="388"/>
      <c r="B87" s="81"/>
      <c r="C87" s="82"/>
      <c r="D87" s="11"/>
      <c r="E87" s="204" t="s">
        <v>152</v>
      </c>
      <c r="F87" s="245">
        <v>701530</v>
      </c>
      <c r="G87" s="141">
        <f>H87+I87</f>
        <v>5168614</v>
      </c>
      <c r="H87" s="141">
        <v>5168614</v>
      </c>
      <c r="I87" s="141"/>
      <c r="J87" s="148"/>
      <c r="K87" s="149"/>
      <c r="L87" s="149"/>
      <c r="M87" s="141"/>
      <c r="N87" s="141"/>
      <c r="O87" s="141"/>
      <c r="P87" s="141"/>
      <c r="Q87" s="141"/>
      <c r="R87" s="141"/>
    </row>
    <row r="88" spans="1:18" ht="72">
      <c r="A88" s="388"/>
      <c r="B88" s="83">
        <v>80140</v>
      </c>
      <c r="C88" s="84" t="s">
        <v>95</v>
      </c>
      <c r="D88" s="11"/>
      <c r="E88" s="199"/>
      <c r="F88" s="246">
        <f>F89</f>
        <v>776223</v>
      </c>
      <c r="G88" s="144">
        <f>G89</f>
        <v>1000861</v>
      </c>
      <c r="H88" s="144">
        <f>H89</f>
        <v>0</v>
      </c>
      <c r="I88" s="144">
        <f aca="true" t="shared" si="13" ref="I88:R88">I89</f>
        <v>1000861</v>
      </c>
      <c r="J88" s="144">
        <f t="shared" si="13"/>
        <v>784653</v>
      </c>
      <c r="K88" s="144">
        <f t="shared" si="13"/>
        <v>190723</v>
      </c>
      <c r="L88" s="144">
        <f t="shared" si="13"/>
        <v>0</v>
      </c>
      <c r="M88" s="144">
        <f t="shared" si="13"/>
        <v>25485</v>
      </c>
      <c r="N88" s="144">
        <f t="shared" si="13"/>
        <v>0</v>
      </c>
      <c r="O88" s="144">
        <f t="shared" si="13"/>
        <v>0</v>
      </c>
      <c r="P88" s="144">
        <f t="shared" si="13"/>
        <v>0</v>
      </c>
      <c r="Q88" s="144">
        <f t="shared" si="13"/>
        <v>0</v>
      </c>
      <c r="R88" s="144">
        <f t="shared" si="13"/>
        <v>0</v>
      </c>
    </row>
    <row r="89" spans="1:18" ht="24">
      <c r="A89" s="388"/>
      <c r="B89" s="341"/>
      <c r="C89" s="342"/>
      <c r="D89" s="11"/>
      <c r="E89" s="199" t="s">
        <v>96</v>
      </c>
      <c r="F89" s="246">
        <v>776223</v>
      </c>
      <c r="G89" s="144">
        <f>H89+I89</f>
        <v>1000861</v>
      </c>
      <c r="H89" s="144"/>
      <c r="I89" s="144">
        <f>SUM(J89:R89)</f>
        <v>1000861</v>
      </c>
      <c r="J89" s="150">
        <v>784653</v>
      </c>
      <c r="K89" s="151">
        <v>190723</v>
      </c>
      <c r="L89" s="151"/>
      <c r="M89" s="152">
        <v>25485</v>
      </c>
      <c r="N89" s="152"/>
      <c r="O89" s="152"/>
      <c r="P89" s="152"/>
      <c r="Q89" s="152"/>
      <c r="R89" s="152"/>
    </row>
    <row r="90" spans="1:18" ht="36">
      <c r="A90" s="388"/>
      <c r="B90" s="83">
        <v>80146</v>
      </c>
      <c r="C90" s="84" t="s">
        <v>97</v>
      </c>
      <c r="D90" s="11"/>
      <c r="E90" s="199"/>
      <c r="F90" s="246">
        <f>F91+F92+F93</f>
        <v>179552</v>
      </c>
      <c r="G90" s="144">
        <f>G91+G92+G93</f>
        <v>206784</v>
      </c>
      <c r="H90" s="144">
        <f>H91+H92+H93</f>
        <v>0</v>
      </c>
      <c r="I90" s="144">
        <f aca="true" t="shared" si="14" ref="I90:R90">I91+I92+I93</f>
        <v>206784</v>
      </c>
      <c r="J90" s="144">
        <f t="shared" si="14"/>
        <v>32524</v>
      </c>
      <c r="K90" s="144">
        <f t="shared" si="14"/>
        <v>174260</v>
      </c>
      <c r="L90" s="144">
        <f t="shared" si="14"/>
        <v>0</v>
      </c>
      <c r="M90" s="144">
        <f t="shared" si="14"/>
        <v>0</v>
      </c>
      <c r="N90" s="144">
        <f t="shared" si="14"/>
        <v>0</v>
      </c>
      <c r="O90" s="144">
        <f t="shared" si="14"/>
        <v>0</v>
      </c>
      <c r="P90" s="144">
        <f t="shared" si="14"/>
        <v>0</v>
      </c>
      <c r="Q90" s="144">
        <f t="shared" si="14"/>
        <v>0</v>
      </c>
      <c r="R90" s="144">
        <f t="shared" si="14"/>
        <v>0</v>
      </c>
    </row>
    <row r="91" spans="1:18" ht="27" customHeight="1">
      <c r="A91" s="388"/>
      <c r="B91" s="337"/>
      <c r="C91" s="338"/>
      <c r="D91" s="11"/>
      <c r="E91" s="111" t="s">
        <v>81</v>
      </c>
      <c r="F91" s="238">
        <v>35968</v>
      </c>
      <c r="G91" s="112">
        <f>H91+I91</f>
        <v>21216</v>
      </c>
      <c r="H91" s="112"/>
      <c r="I91" s="112">
        <f>SUM(J91:R91)</f>
        <v>21216</v>
      </c>
      <c r="J91" s="153">
        <v>21216</v>
      </c>
      <c r="K91" s="136"/>
      <c r="L91" s="136"/>
      <c r="M91" s="154"/>
      <c r="N91" s="154"/>
      <c r="O91" s="154"/>
      <c r="P91" s="154"/>
      <c r="Q91" s="154"/>
      <c r="R91" s="154"/>
    </row>
    <row r="92" spans="1:18" ht="27" customHeight="1">
      <c r="A92" s="388"/>
      <c r="B92" s="339"/>
      <c r="C92" s="340"/>
      <c r="D92" s="11"/>
      <c r="E92" s="203" t="s">
        <v>83</v>
      </c>
      <c r="F92" s="244">
        <v>15539</v>
      </c>
      <c r="G92" s="138">
        <f>H92+I92</f>
        <v>11308</v>
      </c>
      <c r="H92" s="138"/>
      <c r="I92" s="138">
        <f>SUM(J92:R92)</f>
        <v>11308</v>
      </c>
      <c r="J92" s="155">
        <v>11308</v>
      </c>
      <c r="K92" s="139"/>
      <c r="L92" s="139"/>
      <c r="M92" s="156"/>
      <c r="N92" s="156"/>
      <c r="O92" s="156"/>
      <c r="P92" s="156"/>
      <c r="Q92" s="156"/>
      <c r="R92" s="156"/>
    </row>
    <row r="93" spans="1:18" ht="21.75" customHeight="1">
      <c r="A93" s="388"/>
      <c r="B93" s="343"/>
      <c r="C93" s="344"/>
      <c r="D93" s="11"/>
      <c r="E93" s="204" t="s">
        <v>154</v>
      </c>
      <c r="F93" s="245">
        <v>128045</v>
      </c>
      <c r="G93" s="141">
        <f>H93+I93</f>
        <v>174260</v>
      </c>
      <c r="H93" s="141"/>
      <c r="I93" s="141">
        <f>SUM(J93:R93)</f>
        <v>174260</v>
      </c>
      <c r="J93" s="301"/>
      <c r="K93" s="142">
        <v>174260</v>
      </c>
      <c r="L93" s="142"/>
      <c r="M93" s="195"/>
      <c r="N93" s="195"/>
      <c r="O93" s="195"/>
      <c r="P93" s="195"/>
      <c r="Q93" s="195"/>
      <c r="R93" s="195"/>
    </row>
    <row r="94" spans="1:18" ht="18.75" customHeight="1">
      <c r="A94" s="388"/>
      <c r="B94" s="83">
        <v>80148</v>
      </c>
      <c r="C94" s="84" t="s">
        <v>28</v>
      </c>
      <c r="D94" s="11"/>
      <c r="E94" s="199"/>
      <c r="F94" s="246">
        <f>F95+F96</f>
        <v>162635</v>
      </c>
      <c r="G94" s="144">
        <f>G95+G96</f>
        <v>179233</v>
      </c>
      <c r="H94" s="144">
        <f>H95+H96</f>
        <v>0</v>
      </c>
      <c r="I94" s="144">
        <f aca="true" t="shared" si="15" ref="I94:R94">I95+I96</f>
        <v>179233</v>
      </c>
      <c r="J94" s="144">
        <f t="shared" si="15"/>
        <v>114941</v>
      </c>
      <c r="K94" s="144">
        <f t="shared" si="15"/>
        <v>64292</v>
      </c>
      <c r="L94" s="144">
        <f t="shared" si="15"/>
        <v>0</v>
      </c>
      <c r="M94" s="144">
        <f t="shared" si="15"/>
        <v>0</v>
      </c>
      <c r="N94" s="144">
        <f t="shared" si="15"/>
        <v>0</v>
      </c>
      <c r="O94" s="144">
        <f t="shared" si="15"/>
        <v>0</v>
      </c>
      <c r="P94" s="144">
        <f t="shared" si="15"/>
        <v>0</v>
      </c>
      <c r="Q94" s="144">
        <f t="shared" si="15"/>
        <v>0</v>
      </c>
      <c r="R94" s="144">
        <f t="shared" si="15"/>
        <v>0</v>
      </c>
    </row>
    <row r="95" spans="1:18" ht="26.25" customHeight="1">
      <c r="A95" s="388"/>
      <c r="B95" s="337"/>
      <c r="C95" s="338"/>
      <c r="D95" s="11"/>
      <c r="E95" s="111" t="s">
        <v>90</v>
      </c>
      <c r="F95" s="238">
        <v>62305</v>
      </c>
      <c r="G95" s="112">
        <f>H95+I95</f>
        <v>69424</v>
      </c>
      <c r="H95" s="112"/>
      <c r="I95" s="112">
        <f>SUM(J95:R95)</f>
        <v>69424</v>
      </c>
      <c r="J95" s="153">
        <v>28483</v>
      </c>
      <c r="K95" s="136">
        <v>40941</v>
      </c>
      <c r="L95" s="136"/>
      <c r="M95" s="154"/>
      <c r="N95" s="154"/>
      <c r="O95" s="154"/>
      <c r="P95" s="154"/>
      <c r="Q95" s="154"/>
      <c r="R95" s="154"/>
    </row>
    <row r="96" spans="1:18" ht="21.75" customHeight="1">
      <c r="A96" s="388"/>
      <c r="B96" s="343"/>
      <c r="C96" s="344"/>
      <c r="D96" s="11"/>
      <c r="E96" s="204" t="s">
        <v>91</v>
      </c>
      <c r="F96" s="245">
        <v>100330</v>
      </c>
      <c r="G96" s="141">
        <f>H96+I96</f>
        <v>109809</v>
      </c>
      <c r="H96" s="141"/>
      <c r="I96" s="141">
        <f>SUM(J96:R96)</f>
        <v>109809</v>
      </c>
      <c r="J96" s="301">
        <v>86458</v>
      </c>
      <c r="K96" s="142">
        <v>23351</v>
      </c>
      <c r="L96" s="142"/>
      <c r="M96" s="195"/>
      <c r="N96" s="195"/>
      <c r="O96" s="195"/>
      <c r="P96" s="195"/>
      <c r="Q96" s="195"/>
      <c r="R96" s="195"/>
    </row>
    <row r="97" spans="1:18" ht="24">
      <c r="A97" s="388"/>
      <c r="B97" s="83">
        <v>80195</v>
      </c>
      <c r="C97" s="84" t="s">
        <v>9</v>
      </c>
      <c r="D97" s="11"/>
      <c r="E97" s="199"/>
      <c r="F97" s="246">
        <f>SUM(F98:F112)</f>
        <v>1114268</v>
      </c>
      <c r="G97" s="144">
        <f>G98+G99+G100+G103+G104+G105+G106+G107+G108+G109+G110+G111+G112+G101+G102</f>
        <v>1191542</v>
      </c>
      <c r="H97" s="144">
        <f>H98+H99+H100+H103+H104+H105+H106+H107+H108+H109+H110+H111+H112</f>
        <v>0</v>
      </c>
      <c r="I97" s="144">
        <f>I98+I99+I100+I103+I104+I105+I106+I107+I108+I109+I110+I111+I112+I101+I102</f>
        <v>1191542</v>
      </c>
      <c r="J97" s="144">
        <f>J98+J99+J100+J103+J104+J105+J106+J107+J108+J109+J110+J111+J112</f>
        <v>3000</v>
      </c>
      <c r="K97" s="144">
        <f>K98+K99+K100+K103+K104+K105+K106+K107+K108+K109+K110+K111+K112+K101+K102</f>
        <v>372945</v>
      </c>
      <c r="L97" s="144">
        <f aca="true" t="shared" si="16" ref="L97:R97">L98+L99+L100+L103+L104+L105+L106+L107+L108+L109+L110+L111+L112</f>
        <v>0</v>
      </c>
      <c r="M97" s="144">
        <f t="shared" si="16"/>
        <v>21000</v>
      </c>
      <c r="N97" s="144">
        <f t="shared" si="16"/>
        <v>361610</v>
      </c>
      <c r="O97" s="144">
        <f t="shared" si="16"/>
        <v>432987</v>
      </c>
      <c r="P97" s="144">
        <f t="shared" si="16"/>
        <v>0</v>
      </c>
      <c r="Q97" s="144">
        <f t="shared" si="16"/>
        <v>0</v>
      </c>
      <c r="R97" s="144">
        <f t="shared" si="16"/>
        <v>0</v>
      </c>
    </row>
    <row r="98" spans="1:18" ht="27" customHeight="1">
      <c r="A98" s="388"/>
      <c r="B98" s="337"/>
      <c r="C98" s="338"/>
      <c r="D98" s="11"/>
      <c r="E98" s="111" t="s">
        <v>81</v>
      </c>
      <c r="F98" s="238">
        <f>15597+41879</f>
        <v>57476</v>
      </c>
      <c r="G98" s="112">
        <f>H98+I98</f>
        <v>18976</v>
      </c>
      <c r="H98" s="112"/>
      <c r="I98" s="112">
        <f>SUM(J98:R98)</f>
        <v>18976</v>
      </c>
      <c r="J98" s="153"/>
      <c r="K98" s="136">
        <v>18976</v>
      </c>
      <c r="L98" s="136"/>
      <c r="M98" s="154"/>
      <c r="N98" s="154"/>
      <c r="O98" s="154"/>
      <c r="P98" s="154"/>
      <c r="Q98" s="154"/>
      <c r="R98" s="154"/>
    </row>
    <row r="99" spans="1:18" ht="25.5" customHeight="1">
      <c r="A99" s="388"/>
      <c r="B99" s="339"/>
      <c r="C99" s="340"/>
      <c r="D99" s="11"/>
      <c r="E99" s="203" t="s">
        <v>82</v>
      </c>
      <c r="F99" s="244">
        <v>5797</v>
      </c>
      <c r="G99" s="138">
        <f>H99+I99</f>
        <v>6055</v>
      </c>
      <c r="H99" s="138"/>
      <c r="I99" s="138">
        <f>SUM(J99:R99)</f>
        <v>6055</v>
      </c>
      <c r="J99" s="155"/>
      <c r="K99" s="139">
        <v>6055</v>
      </c>
      <c r="L99" s="139"/>
      <c r="M99" s="156"/>
      <c r="N99" s="156"/>
      <c r="O99" s="156"/>
      <c r="P99" s="156"/>
      <c r="Q99" s="156"/>
      <c r="R99" s="156"/>
    </row>
    <row r="100" spans="1:18" ht="24.75" customHeight="1">
      <c r="A100" s="388"/>
      <c r="B100" s="339"/>
      <c r="C100" s="340"/>
      <c r="D100" s="11"/>
      <c r="E100" s="203" t="s">
        <v>89</v>
      </c>
      <c r="F100" s="244">
        <v>27073</v>
      </c>
      <c r="G100" s="138">
        <f aca="true" t="shared" si="17" ref="G100:G112">H100+I100</f>
        <v>33902</v>
      </c>
      <c r="H100" s="138"/>
      <c r="I100" s="138">
        <f aca="true" t="shared" si="18" ref="I100:I112">SUM(J100:R100)</f>
        <v>33902</v>
      </c>
      <c r="J100" s="155"/>
      <c r="K100" s="139">
        <v>33902</v>
      </c>
      <c r="L100" s="139"/>
      <c r="M100" s="156"/>
      <c r="N100" s="156"/>
      <c r="O100" s="156"/>
      <c r="P100" s="156"/>
      <c r="Q100" s="156"/>
      <c r="R100" s="156"/>
    </row>
    <row r="101" spans="1:18" ht="21.75" customHeight="1">
      <c r="A101" s="388"/>
      <c r="B101" s="339"/>
      <c r="C101" s="340"/>
      <c r="D101" s="11"/>
      <c r="E101" s="203" t="s">
        <v>83</v>
      </c>
      <c r="F101" s="244">
        <v>26736</v>
      </c>
      <c r="G101" s="138">
        <f>H101+I101</f>
        <v>26950</v>
      </c>
      <c r="H101" s="138"/>
      <c r="I101" s="138">
        <f>SUM(J101:R101)</f>
        <v>26950</v>
      </c>
      <c r="J101" s="155"/>
      <c r="K101" s="139">
        <v>26950</v>
      </c>
      <c r="L101" s="139"/>
      <c r="M101" s="156"/>
      <c r="N101" s="156"/>
      <c r="O101" s="156"/>
      <c r="P101" s="156"/>
      <c r="Q101" s="156"/>
      <c r="R101" s="156"/>
    </row>
    <row r="102" spans="1:18" ht="21.75" customHeight="1">
      <c r="A102" s="388"/>
      <c r="B102" s="339"/>
      <c r="C102" s="340"/>
      <c r="D102" s="11"/>
      <c r="E102" s="203" t="s">
        <v>84</v>
      </c>
      <c r="F102" s="244">
        <v>6394</v>
      </c>
      <c r="G102" s="138">
        <f>H102+I102</f>
        <v>6835</v>
      </c>
      <c r="H102" s="138"/>
      <c r="I102" s="138">
        <f>SUM(J102:R102)</f>
        <v>6835</v>
      </c>
      <c r="J102" s="155"/>
      <c r="K102" s="139">
        <v>6835</v>
      </c>
      <c r="L102" s="139"/>
      <c r="M102" s="156"/>
      <c r="N102" s="156"/>
      <c r="O102" s="156"/>
      <c r="P102" s="156"/>
      <c r="Q102" s="156"/>
      <c r="R102" s="156"/>
    </row>
    <row r="103" spans="1:18" ht="24" customHeight="1">
      <c r="A103" s="388"/>
      <c r="B103" s="339"/>
      <c r="C103" s="340"/>
      <c r="D103" s="11"/>
      <c r="E103" s="203" t="s">
        <v>90</v>
      </c>
      <c r="F103" s="244">
        <f>43980+27109</f>
        <v>71089</v>
      </c>
      <c r="G103" s="138">
        <f t="shared" si="17"/>
        <v>47125</v>
      </c>
      <c r="H103" s="138"/>
      <c r="I103" s="138">
        <f t="shared" si="18"/>
        <v>47125</v>
      </c>
      <c r="J103" s="155"/>
      <c r="K103" s="139">
        <v>47125</v>
      </c>
      <c r="L103" s="139"/>
      <c r="M103" s="156"/>
      <c r="N103" s="156"/>
      <c r="O103" s="156"/>
      <c r="P103" s="156"/>
      <c r="Q103" s="156"/>
      <c r="R103" s="156"/>
    </row>
    <row r="104" spans="1:18" ht="18" customHeight="1">
      <c r="A104" s="388"/>
      <c r="B104" s="339"/>
      <c r="C104" s="340"/>
      <c r="D104" s="11"/>
      <c r="E104" s="203" t="s">
        <v>91</v>
      </c>
      <c r="F104" s="244">
        <f>28121+77171+153317</f>
        <v>258609</v>
      </c>
      <c r="G104" s="138">
        <f t="shared" si="17"/>
        <v>318921</v>
      </c>
      <c r="H104" s="138"/>
      <c r="I104" s="138">
        <f t="shared" si="18"/>
        <v>318921</v>
      </c>
      <c r="J104" s="155"/>
      <c r="K104" s="139">
        <v>30471</v>
      </c>
      <c r="L104" s="139"/>
      <c r="M104" s="156"/>
      <c r="N104" s="156">
        <v>18457</v>
      </c>
      <c r="O104" s="156">
        <v>269993</v>
      </c>
      <c r="P104" s="156"/>
      <c r="Q104" s="156"/>
      <c r="R104" s="156"/>
    </row>
    <row r="105" spans="1:18" ht="16.5" customHeight="1">
      <c r="A105" s="388"/>
      <c r="B105" s="339"/>
      <c r="C105" s="340"/>
      <c r="D105" s="11"/>
      <c r="E105" s="203" t="s">
        <v>161</v>
      </c>
      <c r="F105" s="244">
        <f>35774+56476+108151</f>
        <v>200401</v>
      </c>
      <c r="G105" s="138">
        <f t="shared" si="17"/>
        <v>204768</v>
      </c>
      <c r="H105" s="138"/>
      <c r="I105" s="138">
        <f t="shared" si="18"/>
        <v>204768</v>
      </c>
      <c r="J105" s="155"/>
      <c r="K105" s="139">
        <v>35568</v>
      </c>
      <c r="L105" s="139"/>
      <c r="M105" s="156"/>
      <c r="N105" s="156">
        <v>77100</v>
      </c>
      <c r="O105" s="156">
        <v>92100</v>
      </c>
      <c r="P105" s="156"/>
      <c r="Q105" s="156"/>
      <c r="R105" s="156"/>
    </row>
    <row r="106" spans="1:18" ht="25.5" customHeight="1">
      <c r="A106" s="388"/>
      <c r="B106" s="339"/>
      <c r="C106" s="340"/>
      <c r="D106" s="11"/>
      <c r="E106" s="203" t="s">
        <v>92</v>
      </c>
      <c r="F106" s="244">
        <f>15766+58821+123864</f>
        <v>198451</v>
      </c>
      <c r="G106" s="138">
        <f t="shared" si="17"/>
        <v>125026</v>
      </c>
      <c r="H106" s="138"/>
      <c r="I106" s="138">
        <f t="shared" si="18"/>
        <v>125026</v>
      </c>
      <c r="J106" s="155"/>
      <c r="K106" s="139">
        <v>17041</v>
      </c>
      <c r="L106" s="139"/>
      <c r="M106" s="156"/>
      <c r="N106" s="156">
        <v>89456</v>
      </c>
      <c r="O106" s="156">
        <v>18529</v>
      </c>
      <c r="P106" s="156"/>
      <c r="Q106" s="156"/>
      <c r="R106" s="156"/>
    </row>
    <row r="107" spans="1:18" ht="17.25" customHeight="1">
      <c r="A107" s="388"/>
      <c r="B107" s="339"/>
      <c r="C107" s="340"/>
      <c r="D107" s="11"/>
      <c r="E107" s="203" t="s">
        <v>85</v>
      </c>
      <c r="F107" s="244">
        <v>23886</v>
      </c>
      <c r="G107" s="138">
        <f t="shared" si="17"/>
        <v>25499</v>
      </c>
      <c r="H107" s="138"/>
      <c r="I107" s="138">
        <f t="shared" si="18"/>
        <v>25499</v>
      </c>
      <c r="J107" s="155"/>
      <c r="K107" s="139">
        <v>25499</v>
      </c>
      <c r="L107" s="139"/>
      <c r="M107" s="156"/>
      <c r="N107" s="156"/>
      <c r="O107" s="156"/>
      <c r="P107" s="156"/>
      <c r="Q107" s="156"/>
      <c r="R107" s="156"/>
    </row>
    <row r="108" spans="1:18" ht="16.5" customHeight="1">
      <c r="A108" s="388"/>
      <c r="B108" s="339"/>
      <c r="C108" s="340"/>
      <c r="D108" s="11"/>
      <c r="E108" s="203" t="s">
        <v>86</v>
      </c>
      <c r="F108" s="244">
        <v>2877</v>
      </c>
      <c r="G108" s="138">
        <f t="shared" si="17"/>
        <v>3499</v>
      </c>
      <c r="H108" s="138"/>
      <c r="I108" s="138">
        <f t="shared" si="18"/>
        <v>3499</v>
      </c>
      <c r="J108" s="155"/>
      <c r="K108" s="139">
        <v>3499</v>
      </c>
      <c r="L108" s="139"/>
      <c r="M108" s="156"/>
      <c r="N108" s="156"/>
      <c r="O108" s="156"/>
      <c r="P108" s="156"/>
      <c r="Q108" s="156"/>
      <c r="R108" s="156"/>
    </row>
    <row r="109" spans="1:18" ht="24">
      <c r="A109" s="388"/>
      <c r="B109" s="339"/>
      <c r="C109" s="340"/>
      <c r="D109" s="11"/>
      <c r="E109" s="203" t="s">
        <v>93</v>
      </c>
      <c r="F109" s="244">
        <v>14735</v>
      </c>
      <c r="G109" s="138">
        <f t="shared" si="17"/>
        <v>16590</v>
      </c>
      <c r="H109" s="138"/>
      <c r="I109" s="138">
        <f t="shared" si="18"/>
        <v>16590</v>
      </c>
      <c r="J109" s="155"/>
      <c r="K109" s="139">
        <v>16590</v>
      </c>
      <c r="L109" s="139"/>
      <c r="M109" s="156"/>
      <c r="N109" s="156"/>
      <c r="O109" s="156"/>
      <c r="P109" s="156"/>
      <c r="Q109" s="156"/>
      <c r="R109" s="156"/>
    </row>
    <row r="110" spans="1:18" ht="24" customHeight="1">
      <c r="A110" s="388"/>
      <c r="B110" s="339"/>
      <c r="C110" s="340"/>
      <c r="D110" s="11"/>
      <c r="E110" s="203" t="s">
        <v>98</v>
      </c>
      <c r="F110" s="244">
        <v>65202</v>
      </c>
      <c r="G110" s="138">
        <f t="shared" si="17"/>
        <v>71261</v>
      </c>
      <c r="H110" s="138"/>
      <c r="I110" s="138">
        <f t="shared" si="18"/>
        <v>71261</v>
      </c>
      <c r="J110" s="155"/>
      <c r="K110" s="139">
        <v>71261</v>
      </c>
      <c r="L110" s="139"/>
      <c r="M110" s="156"/>
      <c r="N110" s="156"/>
      <c r="O110" s="156"/>
      <c r="P110" s="156"/>
      <c r="Q110" s="156"/>
      <c r="R110" s="156"/>
    </row>
    <row r="111" spans="1:18" ht="24">
      <c r="A111" s="388"/>
      <c r="B111" s="339"/>
      <c r="C111" s="340"/>
      <c r="D111" s="11"/>
      <c r="E111" s="203" t="s">
        <v>96</v>
      </c>
      <c r="F111" s="244">
        <f>2046+50184</f>
        <v>52230</v>
      </c>
      <c r="G111" s="138">
        <f t="shared" si="17"/>
        <v>231135</v>
      </c>
      <c r="H111" s="138"/>
      <c r="I111" s="138">
        <f t="shared" si="18"/>
        <v>231135</v>
      </c>
      <c r="J111" s="155"/>
      <c r="K111" s="139">
        <v>2173</v>
      </c>
      <c r="L111" s="139"/>
      <c r="M111" s="156"/>
      <c r="N111" s="156">
        <v>176597</v>
      </c>
      <c r="O111" s="156">
        <v>52365</v>
      </c>
      <c r="P111" s="156"/>
      <c r="Q111" s="156"/>
      <c r="R111" s="156"/>
    </row>
    <row r="112" spans="1:18" ht="21.75" customHeight="1" thickBot="1">
      <c r="A112" s="388"/>
      <c r="B112" s="339"/>
      <c r="C112" s="340"/>
      <c r="D112" s="48"/>
      <c r="E112" s="201" t="s">
        <v>154</v>
      </c>
      <c r="F112" s="241">
        <f>75796+27516</f>
        <v>103312</v>
      </c>
      <c r="G112" s="115">
        <f t="shared" si="17"/>
        <v>55000</v>
      </c>
      <c r="H112" s="115"/>
      <c r="I112" s="115">
        <f t="shared" si="18"/>
        <v>55000</v>
      </c>
      <c r="J112" s="157">
        <v>3000</v>
      </c>
      <c r="K112" s="158">
        <v>31000</v>
      </c>
      <c r="L112" s="158"/>
      <c r="M112" s="159">
        <v>21000</v>
      </c>
      <c r="N112" s="159"/>
      <c r="O112" s="159"/>
      <c r="P112" s="159"/>
      <c r="Q112" s="159"/>
      <c r="R112" s="159"/>
    </row>
    <row r="113" spans="1:18" ht="25.5" customHeight="1" thickBot="1">
      <c r="A113" s="276">
        <v>851</v>
      </c>
      <c r="B113" s="276"/>
      <c r="C113" s="270" t="s">
        <v>29</v>
      </c>
      <c r="D113" s="271">
        <f>SUM(D114:D115)</f>
        <v>173256.83</v>
      </c>
      <c r="E113" s="272"/>
      <c r="F113" s="235">
        <f aca="true" t="shared" si="19" ref="F113:R113">F114+F115+F123</f>
        <v>4264299</v>
      </c>
      <c r="G113" s="273">
        <f t="shared" si="19"/>
        <v>14387746</v>
      </c>
      <c r="H113" s="273">
        <f t="shared" si="19"/>
        <v>10849995</v>
      </c>
      <c r="I113" s="273">
        <f t="shared" si="19"/>
        <v>3537751</v>
      </c>
      <c r="J113" s="273">
        <f t="shared" si="19"/>
        <v>10500</v>
      </c>
      <c r="K113" s="273">
        <f t="shared" si="19"/>
        <v>3517251</v>
      </c>
      <c r="L113" s="273">
        <f t="shared" si="19"/>
        <v>10000</v>
      </c>
      <c r="M113" s="273">
        <f t="shared" si="19"/>
        <v>0</v>
      </c>
      <c r="N113" s="273">
        <f t="shared" si="19"/>
        <v>0</v>
      </c>
      <c r="O113" s="273">
        <f t="shared" si="19"/>
        <v>0</v>
      </c>
      <c r="P113" s="273">
        <f t="shared" si="19"/>
        <v>0</v>
      </c>
      <c r="Q113" s="273">
        <f t="shared" si="19"/>
        <v>0</v>
      </c>
      <c r="R113" s="273">
        <f t="shared" si="19"/>
        <v>0</v>
      </c>
    </row>
    <row r="114" spans="1:18" ht="16.5" customHeight="1">
      <c r="A114" s="334"/>
      <c r="B114" s="39">
        <v>85111</v>
      </c>
      <c r="C114" s="44" t="s">
        <v>99</v>
      </c>
      <c r="D114" s="45">
        <v>10000</v>
      </c>
      <c r="E114" s="201" t="s">
        <v>152</v>
      </c>
      <c r="F114" s="236">
        <v>776000</v>
      </c>
      <c r="G114" s="135">
        <f>H114</f>
        <v>10849995</v>
      </c>
      <c r="H114" s="135">
        <v>10849995</v>
      </c>
      <c r="I114" s="160"/>
      <c r="J114" s="161"/>
      <c r="K114" s="161"/>
      <c r="L114" s="162"/>
      <c r="M114" s="160"/>
      <c r="N114" s="160"/>
      <c r="O114" s="160"/>
      <c r="P114" s="160"/>
      <c r="Q114" s="160"/>
      <c r="R114" s="160"/>
    </row>
    <row r="115" spans="1:18" ht="96" customHeight="1">
      <c r="A115" s="334"/>
      <c r="B115" s="333">
        <v>85156</v>
      </c>
      <c r="C115" s="331" t="s">
        <v>100</v>
      </c>
      <c r="D115" s="11">
        <v>163256.83</v>
      </c>
      <c r="E115" s="117"/>
      <c r="F115" s="246">
        <v>3449299</v>
      </c>
      <c r="G115" s="118">
        <f>G116+G117+G118+G119+G120+G121+G122</f>
        <v>3498751</v>
      </c>
      <c r="H115" s="118">
        <f>H116+H117+H118+H119+H120+H121+H122</f>
        <v>0</v>
      </c>
      <c r="I115" s="118">
        <f>I116+I117+I118+I119+I120+I121+I122</f>
        <v>3498751</v>
      </c>
      <c r="J115" s="118">
        <f aca="true" t="shared" si="20" ref="J115:R115">J116+J117+J118+J119+J120+J121+J122</f>
        <v>0</v>
      </c>
      <c r="K115" s="118">
        <f t="shared" si="20"/>
        <v>3498751</v>
      </c>
      <c r="L115" s="118">
        <f t="shared" si="20"/>
        <v>0</v>
      </c>
      <c r="M115" s="118">
        <f t="shared" si="20"/>
        <v>0</v>
      </c>
      <c r="N115" s="118">
        <f t="shared" si="20"/>
        <v>0</v>
      </c>
      <c r="O115" s="118">
        <f t="shared" si="20"/>
        <v>0</v>
      </c>
      <c r="P115" s="118">
        <f t="shared" si="20"/>
        <v>0</v>
      </c>
      <c r="Q115" s="118">
        <f t="shared" si="20"/>
        <v>0</v>
      </c>
      <c r="R115" s="118">
        <f t="shared" si="20"/>
        <v>0</v>
      </c>
    </row>
    <row r="116" spans="1:18" ht="15.75" customHeight="1">
      <c r="A116" s="334"/>
      <c r="B116" s="334"/>
      <c r="C116" s="332"/>
      <c r="D116" s="48"/>
      <c r="E116" s="111" t="s">
        <v>118</v>
      </c>
      <c r="F116" s="238"/>
      <c r="G116" s="112">
        <f>H116+I116</f>
        <v>3438089</v>
      </c>
      <c r="H116" s="112"/>
      <c r="I116" s="112">
        <f>SUM(J116:R116)</f>
        <v>3438089</v>
      </c>
      <c r="J116" s="113"/>
      <c r="K116" s="113">
        <v>3438089</v>
      </c>
      <c r="L116" s="112"/>
      <c r="M116" s="112"/>
      <c r="N116" s="112"/>
      <c r="O116" s="112"/>
      <c r="P116" s="112"/>
      <c r="Q116" s="112"/>
      <c r="R116" s="112"/>
    </row>
    <row r="117" spans="1:18" ht="16.5" customHeight="1">
      <c r="A117" s="334"/>
      <c r="B117" s="334"/>
      <c r="C117" s="332"/>
      <c r="D117" s="48"/>
      <c r="E117" s="163" t="s">
        <v>102</v>
      </c>
      <c r="F117" s="244"/>
      <c r="G117" s="164">
        <f aca="true" t="shared" si="21" ref="G117:G123">H117+I117</f>
        <v>4493</v>
      </c>
      <c r="H117" s="138"/>
      <c r="I117" s="138">
        <f aca="true" t="shared" si="22" ref="I117:I123">SUM(J117:R117)</f>
        <v>4493</v>
      </c>
      <c r="J117" s="147"/>
      <c r="K117" s="147">
        <v>4493</v>
      </c>
      <c r="L117" s="138"/>
      <c r="M117" s="138"/>
      <c r="N117" s="138"/>
      <c r="O117" s="138"/>
      <c r="P117" s="138"/>
      <c r="Q117" s="138"/>
      <c r="R117" s="138"/>
    </row>
    <row r="118" spans="1:18" ht="24">
      <c r="A118" s="334"/>
      <c r="B118" s="334"/>
      <c r="C118" s="332"/>
      <c r="D118" s="48"/>
      <c r="E118" s="163" t="s">
        <v>103</v>
      </c>
      <c r="F118" s="244"/>
      <c r="G118" s="164">
        <f t="shared" si="21"/>
        <v>14040</v>
      </c>
      <c r="H118" s="138"/>
      <c r="I118" s="138">
        <f t="shared" si="22"/>
        <v>14040</v>
      </c>
      <c r="J118" s="147"/>
      <c r="K118" s="147">
        <v>14040</v>
      </c>
      <c r="L118" s="138"/>
      <c r="M118" s="138"/>
      <c r="N118" s="138"/>
      <c r="O118" s="138"/>
      <c r="P118" s="138"/>
      <c r="Q118" s="138"/>
      <c r="R118" s="138"/>
    </row>
    <row r="119" spans="1:18" ht="24">
      <c r="A119" s="334"/>
      <c r="B119" s="334"/>
      <c r="C119" s="332"/>
      <c r="D119" s="48"/>
      <c r="E119" s="163" t="s">
        <v>138</v>
      </c>
      <c r="F119" s="244"/>
      <c r="G119" s="164">
        <f t="shared" si="21"/>
        <v>4493</v>
      </c>
      <c r="H119" s="138"/>
      <c r="I119" s="138">
        <f t="shared" si="22"/>
        <v>4493</v>
      </c>
      <c r="J119" s="147"/>
      <c r="K119" s="147">
        <v>4493</v>
      </c>
      <c r="L119" s="138"/>
      <c r="M119" s="138"/>
      <c r="N119" s="138"/>
      <c r="O119" s="138"/>
      <c r="P119" s="138"/>
      <c r="Q119" s="138"/>
      <c r="R119" s="138"/>
    </row>
    <row r="120" spans="1:18" ht="12.75">
      <c r="A120" s="334"/>
      <c r="B120" s="334"/>
      <c r="C120" s="332"/>
      <c r="D120" s="48"/>
      <c r="E120" s="163" t="s">
        <v>109</v>
      </c>
      <c r="F120" s="244"/>
      <c r="G120" s="164">
        <f t="shared" si="21"/>
        <v>562</v>
      </c>
      <c r="H120" s="138"/>
      <c r="I120" s="138">
        <f t="shared" si="22"/>
        <v>562</v>
      </c>
      <c r="J120" s="147"/>
      <c r="K120" s="147">
        <v>562</v>
      </c>
      <c r="L120" s="138"/>
      <c r="M120" s="138"/>
      <c r="N120" s="138"/>
      <c r="O120" s="138"/>
      <c r="P120" s="138"/>
      <c r="Q120" s="138"/>
      <c r="R120" s="138"/>
    </row>
    <row r="121" spans="1:18" ht="24">
      <c r="A121" s="334"/>
      <c r="B121" s="334"/>
      <c r="C121" s="332"/>
      <c r="D121" s="48"/>
      <c r="E121" s="163" t="s">
        <v>121</v>
      </c>
      <c r="F121" s="244"/>
      <c r="G121" s="164">
        <f t="shared" si="21"/>
        <v>1124</v>
      </c>
      <c r="H121" s="138"/>
      <c r="I121" s="138">
        <f t="shared" si="22"/>
        <v>1124</v>
      </c>
      <c r="J121" s="147"/>
      <c r="K121" s="147">
        <v>1124</v>
      </c>
      <c r="L121" s="138"/>
      <c r="M121" s="138"/>
      <c r="N121" s="138"/>
      <c r="O121" s="138"/>
      <c r="P121" s="138"/>
      <c r="Q121" s="138"/>
      <c r="R121" s="138"/>
    </row>
    <row r="122" spans="1:18" ht="17.25" customHeight="1">
      <c r="A122" s="334"/>
      <c r="B122" s="336"/>
      <c r="C122" s="335"/>
      <c r="D122" s="48"/>
      <c r="E122" s="226" t="s">
        <v>110</v>
      </c>
      <c r="F122" s="239"/>
      <c r="G122" s="227">
        <f t="shared" si="21"/>
        <v>35950</v>
      </c>
      <c r="H122" s="228"/>
      <c r="I122" s="228">
        <f t="shared" si="22"/>
        <v>35950</v>
      </c>
      <c r="J122" s="149"/>
      <c r="K122" s="149">
        <v>35950</v>
      </c>
      <c r="L122" s="141"/>
      <c r="M122" s="141"/>
      <c r="N122" s="141"/>
      <c r="O122" s="141"/>
      <c r="P122" s="141"/>
      <c r="Q122" s="141"/>
      <c r="R122" s="141"/>
    </row>
    <row r="123" spans="1:18" ht="24" customHeight="1" thickBot="1">
      <c r="A123" s="334"/>
      <c r="B123" s="68">
        <v>85195</v>
      </c>
      <c r="C123" s="68" t="s">
        <v>9</v>
      </c>
      <c r="D123" s="48"/>
      <c r="E123" s="165" t="s">
        <v>137</v>
      </c>
      <c r="F123" s="237">
        <v>39000</v>
      </c>
      <c r="G123" s="166">
        <f t="shared" si="21"/>
        <v>39000</v>
      </c>
      <c r="H123" s="166"/>
      <c r="I123" s="166">
        <f t="shared" si="22"/>
        <v>39000</v>
      </c>
      <c r="J123" s="167">
        <v>10500</v>
      </c>
      <c r="K123" s="168">
        <v>18500</v>
      </c>
      <c r="L123" s="169">
        <v>10000</v>
      </c>
      <c r="M123" s="170"/>
      <c r="N123" s="170"/>
      <c r="O123" s="170"/>
      <c r="P123" s="170"/>
      <c r="Q123" s="170"/>
      <c r="R123" s="170"/>
    </row>
    <row r="124" spans="1:18" ht="26.25" customHeight="1" thickBot="1">
      <c r="A124" s="276">
        <v>852</v>
      </c>
      <c r="B124" s="277"/>
      <c r="C124" s="270" t="s">
        <v>30</v>
      </c>
      <c r="D124" s="271">
        <f>SUM(D131:D145)</f>
        <v>3280638.05</v>
      </c>
      <c r="E124" s="272"/>
      <c r="F124" s="235">
        <f>F125+F131+F137+F138+F139+F140+F141+F142+F145</f>
        <v>26547620</v>
      </c>
      <c r="G124" s="273">
        <f>G125+G131+G137+G138+G139+G140+G141+G142+G145</f>
        <v>27197497</v>
      </c>
      <c r="H124" s="273">
        <f>H125+H131+H137+H138+H139+H140+H141+H142+H145</f>
        <v>4500</v>
      </c>
      <c r="I124" s="273">
        <f>I125+I131+I137+I138+I139+I140+I141+I142+I145</f>
        <v>27192997</v>
      </c>
      <c r="J124" s="274">
        <f>J125+J131+J137+J138+J139+J140+J141+J142+J145</f>
        <v>12172273</v>
      </c>
      <c r="K124" s="274">
        <f aca="true" t="shared" si="23" ref="K124:R124">K125+K131+K137+K138+K139+K140+K141+K142+K145</f>
        <v>4654691</v>
      </c>
      <c r="L124" s="274">
        <f>L125+L131+L137+L138+L139+L140+L141+L142+L145</f>
        <v>5622593</v>
      </c>
      <c r="M124" s="274">
        <f>M125+M131+M137+M138+M139+M140+M141+M142+M145</f>
        <v>4133520</v>
      </c>
      <c r="N124" s="274">
        <f>N125+N131+N137+N138+N139+N140+N141+N142+N145</f>
        <v>209432</v>
      </c>
      <c r="O124" s="274">
        <f t="shared" si="23"/>
        <v>336894</v>
      </c>
      <c r="P124" s="274">
        <f t="shared" si="23"/>
        <v>63594</v>
      </c>
      <c r="Q124" s="274">
        <f t="shared" si="23"/>
        <v>0</v>
      </c>
      <c r="R124" s="274">
        <f t="shared" si="23"/>
        <v>0</v>
      </c>
    </row>
    <row r="125" spans="1:18" ht="36.75" customHeight="1">
      <c r="A125" s="314"/>
      <c r="B125" s="69">
        <v>85201</v>
      </c>
      <c r="C125" s="70" t="s">
        <v>101</v>
      </c>
      <c r="D125" s="51"/>
      <c r="E125" s="94"/>
      <c r="F125" s="236">
        <f>F126+F127+F128+F129+F130</f>
        <v>3888575</v>
      </c>
      <c r="G125" s="95">
        <f>G126+G127+G128+G129+G130</f>
        <v>4054460</v>
      </c>
      <c r="H125" s="95">
        <f>H126+H127+H128+H129+H130</f>
        <v>0</v>
      </c>
      <c r="I125" s="95">
        <f aca="true" t="shared" si="24" ref="I125:Q125">I126+I127+I128+I129+I130</f>
        <v>4054460</v>
      </c>
      <c r="J125" s="95">
        <f t="shared" si="24"/>
        <v>2233333</v>
      </c>
      <c r="K125" s="95">
        <f t="shared" si="24"/>
        <v>773222</v>
      </c>
      <c r="L125" s="95">
        <f t="shared" si="24"/>
        <v>684306</v>
      </c>
      <c r="M125" s="95">
        <f t="shared" si="24"/>
        <v>363599</v>
      </c>
      <c r="N125" s="95">
        <f t="shared" si="24"/>
        <v>0</v>
      </c>
      <c r="O125" s="95">
        <f t="shared" si="24"/>
        <v>0</v>
      </c>
      <c r="P125" s="95">
        <f t="shared" si="24"/>
        <v>0</v>
      </c>
      <c r="Q125" s="95">
        <f t="shared" si="24"/>
        <v>0</v>
      </c>
      <c r="R125" s="95">
        <f>R126+R127+R128+R129+R130</f>
        <v>0</v>
      </c>
    </row>
    <row r="126" spans="1:18" ht="21" customHeight="1">
      <c r="A126" s="314"/>
      <c r="B126" s="315"/>
      <c r="C126" s="316"/>
      <c r="D126" s="34"/>
      <c r="E126" s="205" t="s">
        <v>102</v>
      </c>
      <c r="F126" s="238">
        <v>1369488</v>
      </c>
      <c r="G126" s="106">
        <f>H126+I126</f>
        <v>1436047</v>
      </c>
      <c r="H126" s="106"/>
      <c r="I126" s="106">
        <f>SUM(J126:R126)</f>
        <v>1436047</v>
      </c>
      <c r="J126" s="107">
        <f>855373+69768+139772+22396</f>
        <v>1087309</v>
      </c>
      <c r="K126" s="113">
        <v>332253</v>
      </c>
      <c r="L126" s="229"/>
      <c r="M126" s="112">
        <v>16485</v>
      </c>
      <c r="N126" s="106"/>
      <c r="O126" s="106"/>
      <c r="P126" s="106"/>
      <c r="Q126" s="106"/>
      <c r="R126" s="106"/>
    </row>
    <row r="127" spans="1:18" ht="37.5" customHeight="1">
      <c r="A127" s="314"/>
      <c r="B127" s="317"/>
      <c r="C127" s="318"/>
      <c r="D127" s="34"/>
      <c r="E127" s="206" t="s">
        <v>103</v>
      </c>
      <c r="F127" s="244">
        <v>1462954</v>
      </c>
      <c r="G127" s="124">
        <f>H127+I127</f>
        <v>1488917</v>
      </c>
      <c r="H127" s="124"/>
      <c r="I127" s="124">
        <f>SUM(J127:R127)</f>
        <v>1488917</v>
      </c>
      <c r="J127" s="125">
        <f>844789+68352+141951+22746+500</f>
        <v>1078338</v>
      </c>
      <c r="K127" s="147">
        <v>353586</v>
      </c>
      <c r="L127" s="230"/>
      <c r="M127" s="138">
        <v>56993</v>
      </c>
      <c r="N127" s="124"/>
      <c r="O127" s="124"/>
      <c r="P127" s="124"/>
      <c r="Q127" s="124"/>
      <c r="R127" s="124"/>
    </row>
    <row r="128" spans="1:18" ht="24" customHeight="1">
      <c r="A128" s="314"/>
      <c r="B128" s="317"/>
      <c r="C128" s="318"/>
      <c r="D128" s="34"/>
      <c r="E128" s="206" t="s">
        <v>138</v>
      </c>
      <c r="F128" s="244">
        <v>153418</v>
      </c>
      <c r="G128" s="124">
        <f>H128+I128</f>
        <v>157469</v>
      </c>
      <c r="H128" s="124">
        <v>0</v>
      </c>
      <c r="I128" s="124">
        <f>SUM(J128:R128)</f>
        <v>157469</v>
      </c>
      <c r="J128" s="147">
        <f>52877+4300+9108+1401</f>
        <v>67686</v>
      </c>
      <c r="K128" s="147">
        <v>87383</v>
      </c>
      <c r="L128" s="230"/>
      <c r="M128" s="138">
        <v>2400</v>
      </c>
      <c r="N128" s="124"/>
      <c r="O128" s="124"/>
      <c r="P128" s="124"/>
      <c r="Q128" s="124"/>
      <c r="R128" s="124"/>
    </row>
    <row r="129" spans="1:18" ht="15" customHeight="1">
      <c r="A129" s="314"/>
      <c r="B129" s="317"/>
      <c r="C129" s="318"/>
      <c r="D129" s="34"/>
      <c r="E129" s="206" t="s">
        <v>104</v>
      </c>
      <c r="F129" s="244">
        <v>669512</v>
      </c>
      <c r="G129" s="124">
        <f>H129+I129</f>
        <v>684306</v>
      </c>
      <c r="H129" s="124"/>
      <c r="I129" s="124">
        <f>SUM(J129:R129)</f>
        <v>684306</v>
      </c>
      <c r="J129" s="125"/>
      <c r="K129" s="125"/>
      <c r="L129" s="147">
        <f>25000+659306</f>
        <v>684306</v>
      </c>
      <c r="M129" s="124"/>
      <c r="N129" s="124"/>
      <c r="O129" s="124"/>
      <c r="P129" s="124"/>
      <c r="Q129" s="124"/>
      <c r="R129" s="124"/>
    </row>
    <row r="130" spans="1:18" ht="36" customHeight="1">
      <c r="A130" s="314"/>
      <c r="B130" s="319"/>
      <c r="C130" s="320"/>
      <c r="D130" s="34"/>
      <c r="E130" s="207" t="s">
        <v>105</v>
      </c>
      <c r="F130" s="245">
        <v>233203</v>
      </c>
      <c r="G130" s="127">
        <f>H130+I130</f>
        <v>287721</v>
      </c>
      <c r="H130" s="127"/>
      <c r="I130" s="127">
        <f>SUM(J130:R130)</f>
        <v>287721</v>
      </c>
      <c r="J130" s="128"/>
      <c r="K130" s="128"/>
      <c r="L130" s="128"/>
      <c r="M130" s="141">
        <v>287721</v>
      </c>
      <c r="N130" s="127"/>
      <c r="O130" s="127"/>
      <c r="P130" s="127"/>
      <c r="Q130" s="127"/>
      <c r="R130" s="127"/>
    </row>
    <row r="131" spans="1:18" s="36" customFormat="1" ht="26.25" customHeight="1">
      <c r="A131" s="314"/>
      <c r="B131" s="77">
        <v>85202</v>
      </c>
      <c r="C131" s="78" t="s">
        <v>31</v>
      </c>
      <c r="D131" s="34">
        <v>115000</v>
      </c>
      <c r="E131" s="117"/>
      <c r="F131" s="298">
        <f>F132+F133+F134+F135+F136</f>
        <v>16590599</v>
      </c>
      <c r="G131" s="118">
        <f>G132+G133+G134+G135+G136</f>
        <v>17075021</v>
      </c>
      <c r="H131" s="118">
        <f>H132+H133+H134+H135+H136</f>
        <v>0</v>
      </c>
      <c r="I131" s="118">
        <f aca="true" t="shared" si="25" ref="I131:R131">I132+I133+I134+I135+I136</f>
        <v>17075021</v>
      </c>
      <c r="J131" s="118">
        <f t="shared" si="25"/>
        <v>9171696</v>
      </c>
      <c r="K131" s="118">
        <f t="shared" si="25"/>
        <v>3684896</v>
      </c>
      <c r="L131" s="118">
        <f t="shared" si="25"/>
        <v>4194429</v>
      </c>
      <c r="M131" s="118">
        <f t="shared" si="25"/>
        <v>24000</v>
      </c>
      <c r="N131" s="118">
        <f t="shared" si="25"/>
        <v>0</v>
      </c>
      <c r="O131" s="118">
        <f t="shared" si="25"/>
        <v>0</v>
      </c>
      <c r="P131" s="118">
        <f t="shared" si="25"/>
        <v>0</v>
      </c>
      <c r="Q131" s="118">
        <f t="shared" si="25"/>
        <v>0</v>
      </c>
      <c r="R131" s="118">
        <f t="shared" si="25"/>
        <v>0</v>
      </c>
    </row>
    <row r="132" spans="1:18" s="295" customFormat="1" ht="23.25" customHeight="1">
      <c r="A132" s="314"/>
      <c r="B132" s="315"/>
      <c r="C132" s="316"/>
      <c r="D132" s="53"/>
      <c r="E132" s="205" t="s">
        <v>106</v>
      </c>
      <c r="F132" s="293">
        <v>1961483</v>
      </c>
      <c r="G132" s="175">
        <f aca="true" t="shared" si="26" ref="G132:G141">H132+I132</f>
        <v>2102905</v>
      </c>
      <c r="H132" s="175">
        <v>0</v>
      </c>
      <c r="I132" s="175">
        <f aca="true" t="shared" si="27" ref="I132:I141">SUM(J132:R132)</f>
        <v>2102905</v>
      </c>
      <c r="J132" s="294">
        <f>1056428+81132+177385+27628+5000</f>
        <v>1347573</v>
      </c>
      <c r="K132" s="294">
        <v>752332</v>
      </c>
      <c r="L132" s="294"/>
      <c r="M132" s="175">
        <v>3000</v>
      </c>
      <c r="N132" s="175"/>
      <c r="O132" s="175"/>
      <c r="P132" s="175"/>
      <c r="Q132" s="175"/>
      <c r="R132" s="175"/>
    </row>
    <row r="133" spans="1:18" s="295" customFormat="1" ht="24" customHeight="1">
      <c r="A133" s="314"/>
      <c r="B133" s="317"/>
      <c r="C133" s="318"/>
      <c r="D133" s="53"/>
      <c r="E133" s="206" t="s">
        <v>107</v>
      </c>
      <c r="F133" s="296">
        <v>1276014</v>
      </c>
      <c r="G133" s="177">
        <f t="shared" si="26"/>
        <v>1140008</v>
      </c>
      <c r="H133" s="177"/>
      <c r="I133" s="177">
        <f t="shared" si="27"/>
        <v>1140008</v>
      </c>
      <c r="J133" s="297">
        <f>696996+57668+113102+17786+5491</f>
        <v>891043</v>
      </c>
      <c r="K133" s="297">
        <v>248965</v>
      </c>
      <c r="L133" s="297"/>
      <c r="M133" s="177"/>
      <c r="N133" s="177"/>
      <c r="O133" s="177"/>
      <c r="P133" s="177"/>
      <c r="Q133" s="177"/>
      <c r="R133" s="177"/>
    </row>
    <row r="134" spans="1:18" s="295" customFormat="1" ht="24" customHeight="1">
      <c r="A134" s="314"/>
      <c r="B134" s="317"/>
      <c r="C134" s="318"/>
      <c r="D134" s="53"/>
      <c r="E134" s="206" t="s">
        <v>108</v>
      </c>
      <c r="F134" s="296">
        <v>4694927</v>
      </c>
      <c r="G134" s="177">
        <f t="shared" si="26"/>
        <v>5070251</v>
      </c>
      <c r="H134" s="177"/>
      <c r="I134" s="177">
        <f t="shared" si="27"/>
        <v>5070251</v>
      </c>
      <c r="J134" s="297">
        <f>2796570+215000+461757+71920+11880+28024</f>
        <v>3585151</v>
      </c>
      <c r="K134" s="297">
        <v>1470100</v>
      </c>
      <c r="L134" s="297"/>
      <c r="M134" s="177">
        <v>15000</v>
      </c>
      <c r="N134" s="177"/>
      <c r="O134" s="177"/>
      <c r="P134" s="177"/>
      <c r="Q134" s="177"/>
      <c r="R134" s="177"/>
    </row>
    <row r="135" spans="1:18" s="295" customFormat="1" ht="27" customHeight="1">
      <c r="A135" s="314"/>
      <c r="B135" s="317"/>
      <c r="C135" s="318"/>
      <c r="D135" s="53"/>
      <c r="E135" s="206" t="s">
        <v>109</v>
      </c>
      <c r="F135" s="296">
        <v>4484653</v>
      </c>
      <c r="G135" s="177">
        <f t="shared" si="26"/>
        <v>4567428</v>
      </c>
      <c r="H135" s="177"/>
      <c r="I135" s="177">
        <f t="shared" si="27"/>
        <v>4567428</v>
      </c>
      <c r="J135" s="297">
        <f>2607929+210000+432490+68010+8000+21500</f>
        <v>3347929</v>
      </c>
      <c r="K135" s="297">
        <v>1213499</v>
      </c>
      <c r="L135" s="297"/>
      <c r="M135" s="177">
        <v>6000</v>
      </c>
      <c r="N135" s="177"/>
      <c r="O135" s="177"/>
      <c r="P135" s="177"/>
      <c r="Q135" s="177"/>
      <c r="R135" s="177"/>
    </row>
    <row r="136" spans="1:18" s="295" customFormat="1" ht="23.25" customHeight="1">
      <c r="A136" s="314"/>
      <c r="B136" s="319"/>
      <c r="C136" s="320"/>
      <c r="D136" s="53"/>
      <c r="E136" s="207" t="s">
        <v>110</v>
      </c>
      <c r="F136" s="299">
        <f>4154279+19243</f>
        <v>4173522</v>
      </c>
      <c r="G136" s="231">
        <f t="shared" si="26"/>
        <v>4194429</v>
      </c>
      <c r="H136" s="231"/>
      <c r="I136" s="231">
        <f t="shared" si="27"/>
        <v>4194429</v>
      </c>
      <c r="J136" s="300">
        <v>0</v>
      </c>
      <c r="K136" s="300">
        <v>0</v>
      </c>
      <c r="L136" s="300">
        <v>4194429</v>
      </c>
      <c r="M136" s="231"/>
      <c r="N136" s="231"/>
      <c r="O136" s="231"/>
      <c r="P136" s="231"/>
      <c r="Q136" s="231"/>
      <c r="R136" s="231"/>
    </row>
    <row r="137" spans="1:18" ht="19.5" customHeight="1">
      <c r="A137" s="314"/>
      <c r="B137" s="64">
        <v>85203</v>
      </c>
      <c r="C137" s="64" t="s">
        <v>111</v>
      </c>
      <c r="D137" s="34"/>
      <c r="E137" s="117" t="s">
        <v>110</v>
      </c>
      <c r="F137" s="246">
        <v>327600</v>
      </c>
      <c r="G137" s="118">
        <f t="shared" si="26"/>
        <v>388800</v>
      </c>
      <c r="H137" s="118"/>
      <c r="I137" s="118">
        <f t="shared" si="27"/>
        <v>388800</v>
      </c>
      <c r="J137" s="119"/>
      <c r="K137" s="119"/>
      <c r="L137" s="119">
        <v>388800</v>
      </c>
      <c r="M137" s="118"/>
      <c r="N137" s="118"/>
      <c r="O137" s="118"/>
      <c r="P137" s="118"/>
      <c r="Q137" s="118"/>
      <c r="R137" s="118"/>
    </row>
    <row r="138" spans="1:18" ht="18" customHeight="1">
      <c r="A138" s="314"/>
      <c r="B138" s="63">
        <v>85204</v>
      </c>
      <c r="C138" s="64" t="s">
        <v>112</v>
      </c>
      <c r="D138" s="34">
        <v>2248151</v>
      </c>
      <c r="E138" s="117" t="s">
        <v>110</v>
      </c>
      <c r="F138" s="246">
        <v>4118411</v>
      </c>
      <c r="G138" s="118">
        <f t="shared" si="26"/>
        <v>4131921</v>
      </c>
      <c r="H138" s="118"/>
      <c r="I138" s="144">
        <f t="shared" si="27"/>
        <v>4131921</v>
      </c>
      <c r="J138" s="192">
        <v>131500</v>
      </c>
      <c r="K138" s="192">
        <v>10000</v>
      </c>
      <c r="L138" s="192">
        <v>245000</v>
      </c>
      <c r="M138" s="144">
        <v>3745421</v>
      </c>
      <c r="N138" s="118"/>
      <c r="O138" s="118"/>
      <c r="P138" s="118"/>
      <c r="Q138" s="118"/>
      <c r="R138" s="118"/>
    </row>
    <row r="139" spans="1:18" ht="36" customHeight="1">
      <c r="A139" s="314"/>
      <c r="B139" s="63">
        <v>85205</v>
      </c>
      <c r="C139" s="64" t="s">
        <v>113</v>
      </c>
      <c r="D139" s="34">
        <v>4569</v>
      </c>
      <c r="E139" s="117" t="s">
        <v>110</v>
      </c>
      <c r="F139" s="246">
        <v>30000</v>
      </c>
      <c r="G139" s="118">
        <f t="shared" si="26"/>
        <v>15000</v>
      </c>
      <c r="H139" s="118"/>
      <c r="I139" s="118">
        <f t="shared" si="27"/>
        <v>15000</v>
      </c>
      <c r="J139" s="119"/>
      <c r="K139" s="171"/>
      <c r="L139" s="118">
        <v>15000</v>
      </c>
      <c r="M139" s="118"/>
      <c r="N139" s="118"/>
      <c r="O139" s="118"/>
      <c r="P139" s="118"/>
      <c r="Q139" s="118"/>
      <c r="R139" s="118"/>
    </row>
    <row r="140" spans="1:18" s="4" customFormat="1" ht="49.5" customHeight="1">
      <c r="A140" s="314"/>
      <c r="B140" s="64">
        <v>85218</v>
      </c>
      <c r="C140" s="64" t="s">
        <v>114</v>
      </c>
      <c r="D140" s="34">
        <v>214728.05</v>
      </c>
      <c r="E140" s="117" t="s">
        <v>110</v>
      </c>
      <c r="F140" s="246">
        <v>767524</v>
      </c>
      <c r="G140" s="118">
        <f t="shared" si="26"/>
        <v>772337</v>
      </c>
      <c r="H140" s="144">
        <v>4500</v>
      </c>
      <c r="I140" s="118">
        <f t="shared" si="27"/>
        <v>767837</v>
      </c>
      <c r="J140" s="119">
        <f>473716+38500+76819+12309+34400</f>
        <v>635744</v>
      </c>
      <c r="K140" s="192">
        <v>131593</v>
      </c>
      <c r="L140" s="253"/>
      <c r="M140" s="144">
        <v>500</v>
      </c>
      <c r="N140" s="118"/>
      <c r="O140" s="118"/>
      <c r="P140" s="118"/>
      <c r="Q140" s="118"/>
      <c r="R140" s="118"/>
    </row>
    <row r="141" spans="1:18" ht="30" customHeight="1">
      <c r="A141" s="314"/>
      <c r="B141" s="63">
        <v>85226</v>
      </c>
      <c r="C141" s="64" t="s">
        <v>115</v>
      </c>
      <c r="D141" s="34">
        <v>70000</v>
      </c>
      <c r="E141" s="117" t="s">
        <v>110</v>
      </c>
      <c r="F141" s="246">
        <v>46000</v>
      </c>
      <c r="G141" s="118">
        <f t="shared" si="26"/>
        <v>47058</v>
      </c>
      <c r="H141" s="118"/>
      <c r="I141" s="118">
        <f t="shared" si="27"/>
        <v>47058</v>
      </c>
      <c r="J141" s="119"/>
      <c r="K141" s="119"/>
      <c r="L141" s="118">
        <v>47058</v>
      </c>
      <c r="M141" s="118"/>
      <c r="N141" s="118"/>
      <c r="O141" s="118"/>
      <c r="P141" s="118"/>
      <c r="Q141" s="118"/>
      <c r="R141" s="118"/>
    </row>
    <row r="142" spans="1:18" ht="36" customHeight="1">
      <c r="A142" s="314"/>
      <c r="B142" s="325">
        <v>85233</v>
      </c>
      <c r="C142" s="325" t="s">
        <v>97</v>
      </c>
      <c r="D142" s="34">
        <v>467635</v>
      </c>
      <c r="E142" s="117"/>
      <c r="F142" s="246">
        <f>F143+F144</f>
        <v>5500</v>
      </c>
      <c r="G142" s="118">
        <f>G143+G144</f>
        <v>5500</v>
      </c>
      <c r="H142" s="118">
        <f>H143+H144</f>
        <v>0</v>
      </c>
      <c r="I142" s="118">
        <f>I143+I144</f>
        <v>5500</v>
      </c>
      <c r="J142" s="118">
        <f aca="true" t="shared" si="28" ref="J142:R142">J143+J144</f>
        <v>0</v>
      </c>
      <c r="K142" s="118">
        <f t="shared" si="28"/>
        <v>5500</v>
      </c>
      <c r="L142" s="118">
        <f t="shared" si="28"/>
        <v>0</v>
      </c>
      <c r="M142" s="118">
        <f t="shared" si="28"/>
        <v>0</v>
      </c>
      <c r="N142" s="118">
        <f t="shared" si="28"/>
        <v>0</v>
      </c>
      <c r="O142" s="118">
        <f t="shared" si="28"/>
        <v>0</v>
      </c>
      <c r="P142" s="118">
        <f t="shared" si="28"/>
        <v>0</v>
      </c>
      <c r="Q142" s="118">
        <f t="shared" si="28"/>
        <v>0</v>
      </c>
      <c r="R142" s="118">
        <f t="shared" si="28"/>
        <v>0</v>
      </c>
    </row>
    <row r="143" spans="1:18" ht="16.5" customHeight="1">
      <c r="A143" s="314"/>
      <c r="B143" s="326"/>
      <c r="C143" s="326"/>
      <c r="D143" s="34"/>
      <c r="E143" s="105" t="s">
        <v>102</v>
      </c>
      <c r="F143" s="238">
        <v>2000</v>
      </c>
      <c r="G143" s="106">
        <f>I143</f>
        <v>2000</v>
      </c>
      <c r="H143" s="106"/>
      <c r="I143" s="106">
        <f>SUM(J143:R143)</f>
        <v>2000</v>
      </c>
      <c r="J143" s="107"/>
      <c r="K143" s="107">
        <v>2000</v>
      </c>
      <c r="L143" s="106"/>
      <c r="M143" s="106"/>
      <c r="N143" s="106"/>
      <c r="O143" s="106"/>
      <c r="P143" s="106"/>
      <c r="Q143" s="106"/>
      <c r="R143" s="106"/>
    </row>
    <row r="144" spans="1:18" ht="24">
      <c r="A144" s="314"/>
      <c r="B144" s="327"/>
      <c r="C144" s="327"/>
      <c r="D144" s="34"/>
      <c r="E144" s="126" t="s">
        <v>103</v>
      </c>
      <c r="F144" s="240">
        <v>3500</v>
      </c>
      <c r="G144" s="127">
        <f>I144</f>
        <v>3500</v>
      </c>
      <c r="H144" s="127"/>
      <c r="I144" s="127">
        <f>SUM(J144:R144)</f>
        <v>3500</v>
      </c>
      <c r="J144" s="128"/>
      <c r="K144" s="128">
        <v>3500</v>
      </c>
      <c r="L144" s="127"/>
      <c r="M144" s="127"/>
      <c r="N144" s="127"/>
      <c r="O144" s="127"/>
      <c r="P144" s="127"/>
      <c r="Q144" s="127"/>
      <c r="R144" s="127"/>
    </row>
    <row r="145" spans="1:18" s="9" customFormat="1" ht="24" customHeight="1">
      <c r="A145" s="314"/>
      <c r="B145" s="77">
        <v>85295</v>
      </c>
      <c r="C145" s="78" t="s">
        <v>9</v>
      </c>
      <c r="D145" s="53">
        <v>160555</v>
      </c>
      <c r="E145" s="208"/>
      <c r="F145" s="246">
        <v>773411</v>
      </c>
      <c r="G145" s="118">
        <f>G146+G147+G148+G149+G150+G151</f>
        <v>707400</v>
      </c>
      <c r="H145" s="118">
        <f>H146+H147+H148+H149+H150+H151</f>
        <v>0</v>
      </c>
      <c r="I145" s="118">
        <f>I146+I147+I148+I149+I150+I151</f>
        <v>707400</v>
      </c>
      <c r="J145" s="118">
        <f>J146+J147+J148+J149+J150</f>
        <v>0</v>
      </c>
      <c r="K145" s="118">
        <f>K146+K147+K148+K149+K150</f>
        <v>49480</v>
      </c>
      <c r="L145" s="118">
        <f>L146+L147+L148+L149+L150+L151</f>
        <v>48000</v>
      </c>
      <c r="M145" s="118"/>
      <c r="N145" s="118">
        <f>N146+N147+N148+N149+N150+N151</f>
        <v>209432</v>
      </c>
      <c r="O145" s="118">
        <f>O146+O147+O148+O149+O150+O151</f>
        <v>336894</v>
      </c>
      <c r="P145" s="118">
        <f>P146+P147+P148+P149+P150+P151</f>
        <v>63594</v>
      </c>
      <c r="Q145" s="118">
        <f>Q146+Q147+Q148+Q149+Q150+Q151</f>
        <v>0</v>
      </c>
      <c r="R145" s="118">
        <f>R146+R147+R148+R149+R150+R151</f>
        <v>0</v>
      </c>
    </row>
    <row r="146" spans="1:18" s="15" customFormat="1" ht="19.5" customHeight="1">
      <c r="A146" s="314"/>
      <c r="B146" s="321"/>
      <c r="C146" s="322"/>
      <c r="D146" s="54"/>
      <c r="E146" s="105" t="s">
        <v>110</v>
      </c>
      <c r="F146" s="238">
        <v>0</v>
      </c>
      <c r="G146" s="106">
        <f>H146+I146</f>
        <v>40678</v>
      </c>
      <c r="H146" s="106"/>
      <c r="I146" s="106">
        <f aca="true" t="shared" si="29" ref="I146:I151">SUM(J146:R146)</f>
        <v>40678</v>
      </c>
      <c r="J146" s="174"/>
      <c r="K146" s="107">
        <v>40678</v>
      </c>
      <c r="L146" s="175"/>
      <c r="M146" s="175"/>
      <c r="N146" s="175"/>
      <c r="O146" s="175"/>
      <c r="P146" s="175"/>
      <c r="Q146" s="106"/>
      <c r="R146" s="106"/>
    </row>
    <row r="147" spans="1:18" s="15" customFormat="1" ht="24.75" customHeight="1">
      <c r="A147" s="314"/>
      <c r="B147" s="323"/>
      <c r="C147" s="324"/>
      <c r="D147" s="54"/>
      <c r="E147" s="123" t="s">
        <v>117</v>
      </c>
      <c r="F147" s="244">
        <v>0</v>
      </c>
      <c r="G147" s="124">
        <f>I147</f>
        <v>38000</v>
      </c>
      <c r="H147" s="124"/>
      <c r="I147" s="124">
        <f t="shared" si="29"/>
        <v>38000</v>
      </c>
      <c r="J147" s="176"/>
      <c r="K147" s="125"/>
      <c r="L147" s="177">
        <v>38000</v>
      </c>
      <c r="M147" s="177"/>
      <c r="N147" s="177"/>
      <c r="O147" s="177"/>
      <c r="P147" s="177"/>
      <c r="Q147" s="124"/>
      <c r="R147" s="124"/>
    </row>
    <row r="148" spans="1:18" s="15" customFormat="1" ht="18.75" customHeight="1">
      <c r="A148" s="314"/>
      <c r="B148" s="323"/>
      <c r="C148" s="324"/>
      <c r="D148" s="54"/>
      <c r="E148" s="123" t="s">
        <v>156</v>
      </c>
      <c r="F148" s="244">
        <v>0</v>
      </c>
      <c r="G148" s="124">
        <f>I148</f>
        <v>10000</v>
      </c>
      <c r="H148" s="124"/>
      <c r="I148" s="121">
        <f t="shared" si="29"/>
        <v>10000</v>
      </c>
      <c r="J148" s="176"/>
      <c r="K148" s="125"/>
      <c r="L148" s="177">
        <v>10000</v>
      </c>
      <c r="M148" s="177"/>
      <c r="N148" s="177"/>
      <c r="O148" s="177"/>
      <c r="P148" s="177"/>
      <c r="Q148" s="124"/>
      <c r="R148" s="124"/>
    </row>
    <row r="149" spans="1:18" s="15" customFormat="1" ht="17.25" customHeight="1">
      <c r="A149" s="314"/>
      <c r="B149" s="323"/>
      <c r="C149" s="324"/>
      <c r="D149" s="54"/>
      <c r="E149" s="123" t="s">
        <v>102</v>
      </c>
      <c r="F149" s="244">
        <v>0</v>
      </c>
      <c r="G149" s="124">
        <f>H149+I149</f>
        <v>4996</v>
      </c>
      <c r="H149" s="124"/>
      <c r="I149" s="124">
        <f t="shared" si="29"/>
        <v>4996</v>
      </c>
      <c r="J149" s="176"/>
      <c r="K149" s="125">
        <v>4996</v>
      </c>
      <c r="L149" s="177"/>
      <c r="M149" s="177"/>
      <c r="N149" s="177"/>
      <c r="O149" s="177"/>
      <c r="P149" s="177"/>
      <c r="Q149" s="124"/>
      <c r="R149" s="124"/>
    </row>
    <row r="150" spans="1:18" s="15" customFormat="1" ht="28.5" customHeight="1">
      <c r="A150" s="314"/>
      <c r="B150" s="323"/>
      <c r="C150" s="324"/>
      <c r="D150" s="55"/>
      <c r="E150" s="217" t="s">
        <v>119</v>
      </c>
      <c r="F150" s="239">
        <v>0</v>
      </c>
      <c r="G150" s="218">
        <f>H150+I150</f>
        <v>3806</v>
      </c>
      <c r="H150" s="218"/>
      <c r="I150" s="218">
        <f t="shared" si="29"/>
        <v>3806</v>
      </c>
      <c r="J150" s="219"/>
      <c r="K150" s="220">
        <v>3806</v>
      </c>
      <c r="L150" s="221"/>
      <c r="M150" s="221"/>
      <c r="N150" s="221"/>
      <c r="O150" s="221"/>
      <c r="P150" s="221"/>
      <c r="Q150" s="218"/>
      <c r="R150" s="218"/>
    </row>
    <row r="151" spans="1:18" s="15" customFormat="1" ht="28.5" customHeight="1" thickBot="1">
      <c r="A151" s="213"/>
      <c r="B151" s="214"/>
      <c r="C151" s="215"/>
      <c r="D151" s="222"/>
      <c r="E151" s="209" t="s">
        <v>165</v>
      </c>
      <c r="F151" s="241">
        <v>0</v>
      </c>
      <c r="G151" s="218">
        <f>H151+I151</f>
        <v>609920</v>
      </c>
      <c r="H151" s="178"/>
      <c r="I151" s="218">
        <f t="shared" si="29"/>
        <v>609920</v>
      </c>
      <c r="J151" s="179"/>
      <c r="K151" s="180"/>
      <c r="L151" s="181"/>
      <c r="M151" s="181"/>
      <c r="N151" s="181">
        <v>209432</v>
      </c>
      <c r="O151" s="181">
        <v>336894</v>
      </c>
      <c r="P151" s="181">
        <v>63594</v>
      </c>
      <c r="Q151" s="178"/>
      <c r="R151" s="178"/>
    </row>
    <row r="152" spans="1:18" s="15" customFormat="1" ht="36" customHeight="1" thickBot="1">
      <c r="A152" s="282">
        <v>853</v>
      </c>
      <c r="B152" s="282"/>
      <c r="C152" s="279" t="s">
        <v>32</v>
      </c>
      <c r="D152" s="283">
        <f>D156</f>
        <v>10000</v>
      </c>
      <c r="E152" s="284"/>
      <c r="F152" s="235">
        <f>F153+F154+F155+F156</f>
        <v>3271476</v>
      </c>
      <c r="G152" s="273">
        <f>G153+G154+G155+G156</f>
        <v>2972172</v>
      </c>
      <c r="H152" s="273">
        <f>H153+H154+H155+H156</f>
        <v>0</v>
      </c>
      <c r="I152" s="273">
        <f>I153+I154+I155+I156</f>
        <v>2972172</v>
      </c>
      <c r="J152" s="273">
        <f>J153+J154+J155+J156</f>
        <v>2319954</v>
      </c>
      <c r="K152" s="273">
        <f aca="true" t="shared" si="30" ref="K152:Q152">K153+K154+K155+K156</f>
        <v>342802</v>
      </c>
      <c r="L152" s="273">
        <f t="shared" si="30"/>
        <v>0</v>
      </c>
      <c r="M152" s="273">
        <f t="shared" si="30"/>
        <v>0</v>
      </c>
      <c r="N152" s="273">
        <f>N153+N154+N156+N155</f>
        <v>223837</v>
      </c>
      <c r="O152" s="273">
        <f>O153+O154+O156+O155</f>
        <v>85579</v>
      </c>
      <c r="P152" s="273">
        <f t="shared" si="30"/>
        <v>0</v>
      </c>
      <c r="Q152" s="273">
        <f t="shared" si="30"/>
        <v>0</v>
      </c>
      <c r="R152" s="285"/>
    </row>
    <row r="153" spans="1:18" s="35" customFormat="1" ht="36.75" customHeight="1">
      <c r="A153" s="306"/>
      <c r="B153" s="85">
        <v>85311</v>
      </c>
      <c r="C153" s="86" t="s">
        <v>116</v>
      </c>
      <c r="D153" s="87"/>
      <c r="E153" s="212" t="s">
        <v>109</v>
      </c>
      <c r="F153" s="236">
        <v>115080</v>
      </c>
      <c r="G153" s="182">
        <f>H153+I153</f>
        <v>115080</v>
      </c>
      <c r="H153" s="182"/>
      <c r="I153" s="182">
        <f>SUM(J153:R153)</f>
        <v>115080</v>
      </c>
      <c r="J153" s="182">
        <v>115080</v>
      </c>
      <c r="K153" s="183"/>
      <c r="L153" s="182"/>
      <c r="M153" s="182"/>
      <c r="N153" s="182"/>
      <c r="O153" s="182"/>
      <c r="P153" s="182"/>
      <c r="Q153" s="182"/>
      <c r="R153" s="182"/>
    </row>
    <row r="154" spans="1:18" s="35" customFormat="1" ht="42.75" customHeight="1">
      <c r="A154" s="307"/>
      <c r="B154" s="72">
        <v>85321</v>
      </c>
      <c r="C154" s="73" t="s">
        <v>162</v>
      </c>
      <c r="D154" s="74"/>
      <c r="E154" s="184" t="s">
        <v>110</v>
      </c>
      <c r="F154" s="246">
        <v>151300</v>
      </c>
      <c r="G154" s="185">
        <f>H154+I154</f>
        <v>179600</v>
      </c>
      <c r="H154" s="185"/>
      <c r="I154" s="185">
        <f>SUM(J154:R154)</f>
        <v>179600</v>
      </c>
      <c r="J154" s="185">
        <v>151330</v>
      </c>
      <c r="K154" s="150">
        <v>28270</v>
      </c>
      <c r="L154" s="185"/>
      <c r="M154" s="185"/>
      <c r="N154" s="185"/>
      <c r="O154" s="185"/>
      <c r="P154" s="185"/>
      <c r="Q154" s="185"/>
      <c r="R154" s="185"/>
    </row>
    <row r="155" spans="1:18" s="35" customFormat="1" ht="36" customHeight="1">
      <c r="A155" s="307"/>
      <c r="B155" s="65">
        <v>85333</v>
      </c>
      <c r="C155" s="66" t="s">
        <v>141</v>
      </c>
      <c r="D155" s="33"/>
      <c r="E155" s="186" t="s">
        <v>118</v>
      </c>
      <c r="F155" s="246">
        <v>2558116</v>
      </c>
      <c r="G155" s="152">
        <f>I155</f>
        <v>2368076</v>
      </c>
      <c r="H155" s="152"/>
      <c r="I155" s="152">
        <f>SUM(J155:R155)</f>
        <v>2368076</v>
      </c>
      <c r="J155" s="152">
        <f>1606198+115000+258073+41873+32400</f>
        <v>2053544</v>
      </c>
      <c r="K155" s="151">
        <v>314532</v>
      </c>
      <c r="L155" s="185"/>
      <c r="M155" s="185"/>
      <c r="N155" s="216"/>
      <c r="O155" s="216"/>
      <c r="P155" s="185"/>
      <c r="Q155" s="152"/>
      <c r="R155" s="152"/>
    </row>
    <row r="156" spans="1:18" s="15" customFormat="1" ht="24" customHeight="1" thickBot="1">
      <c r="A156" s="307"/>
      <c r="B156" s="304">
        <v>85395</v>
      </c>
      <c r="C156" s="312" t="s">
        <v>9</v>
      </c>
      <c r="D156" s="16">
        <v>10000</v>
      </c>
      <c r="E156" s="187" t="s">
        <v>118</v>
      </c>
      <c r="F156" s="246">
        <v>446980</v>
      </c>
      <c r="G156" s="118">
        <f>H156+I156</f>
        <v>309416</v>
      </c>
      <c r="H156" s="118"/>
      <c r="I156" s="118">
        <f>SUM(J156:R156)</f>
        <v>309416</v>
      </c>
      <c r="J156" s="173"/>
      <c r="K156" s="119"/>
      <c r="L156" s="172"/>
      <c r="M156" s="172"/>
      <c r="N156" s="185">
        <f>140116+83721</f>
        <v>223837</v>
      </c>
      <c r="O156" s="185">
        <f>5500+80079</f>
        <v>85579</v>
      </c>
      <c r="P156" s="172"/>
      <c r="Q156" s="118"/>
      <c r="R156" s="118"/>
    </row>
    <row r="157" spans="1:18" ht="24" customHeight="1" hidden="1">
      <c r="A157" s="307"/>
      <c r="B157" s="305"/>
      <c r="C157" s="313"/>
      <c r="D157" s="49">
        <f>SUM(D167:D194)</f>
        <v>0</v>
      </c>
      <c r="E157" s="210"/>
      <c r="F157" s="247"/>
      <c r="G157" s="170"/>
      <c r="H157" s="170"/>
      <c r="I157" s="170"/>
      <c r="J157" s="188"/>
      <c r="K157" s="188"/>
      <c r="L157" s="189"/>
      <c r="M157" s="189"/>
      <c r="N157" s="189"/>
      <c r="O157" s="189"/>
      <c r="P157" s="189"/>
      <c r="Q157" s="169"/>
      <c r="R157" s="169"/>
    </row>
    <row r="158" spans="1:18" ht="30" customHeight="1" thickBot="1">
      <c r="A158" s="276">
        <v>854</v>
      </c>
      <c r="B158" s="277"/>
      <c r="C158" s="270" t="s">
        <v>33</v>
      </c>
      <c r="D158" s="271" t="e">
        <f>D167+#REF!</f>
        <v>#REF!</v>
      </c>
      <c r="E158" s="272"/>
      <c r="F158" s="235">
        <f>F159+F160+F161+F164+F165+F169+F185+F190+F191+F192</f>
        <v>10975308</v>
      </c>
      <c r="G158" s="273">
        <f>G159+G160+G161+G164+G165+G169+G185+G190+G191+G192</f>
        <v>12875184</v>
      </c>
      <c r="H158" s="273">
        <f>H159+H160+H161+H164+H165+H169+H185+H190+H191+H192</f>
        <v>1257745</v>
      </c>
      <c r="I158" s="273">
        <f aca="true" t="shared" si="31" ref="I158:R158">I159+I160+I161+I164+I165+I169+I185+I190+I191+I192</f>
        <v>11617439</v>
      </c>
      <c r="J158" s="273">
        <f t="shared" si="31"/>
        <v>5936155</v>
      </c>
      <c r="K158" s="273">
        <f t="shared" si="31"/>
        <v>1316526</v>
      </c>
      <c r="L158" s="273">
        <f t="shared" si="31"/>
        <v>4119521</v>
      </c>
      <c r="M158" s="273">
        <f t="shared" si="31"/>
        <v>52734</v>
      </c>
      <c r="N158" s="273">
        <f>N159+N160+N161+N164+N165+N169+N185+N190+N191+N192</f>
        <v>11503</v>
      </c>
      <c r="O158" s="273">
        <f t="shared" si="31"/>
        <v>1000</v>
      </c>
      <c r="P158" s="273">
        <f t="shared" si="31"/>
        <v>180000</v>
      </c>
      <c r="Q158" s="273">
        <f t="shared" si="31"/>
        <v>0</v>
      </c>
      <c r="R158" s="273">
        <f t="shared" si="31"/>
        <v>0</v>
      </c>
    </row>
    <row r="159" spans="1:18" ht="36" customHeight="1">
      <c r="A159" s="392"/>
      <c r="B159" s="88">
        <v>85403</v>
      </c>
      <c r="C159" s="89" t="s">
        <v>120</v>
      </c>
      <c r="D159" s="46"/>
      <c r="E159" s="94" t="s">
        <v>121</v>
      </c>
      <c r="F159" s="236">
        <v>4237323</v>
      </c>
      <c r="G159" s="135">
        <f>H159+I159</f>
        <v>4394904</v>
      </c>
      <c r="H159" s="135"/>
      <c r="I159" s="135">
        <f>SUM(J159:R159)</f>
        <v>4394904</v>
      </c>
      <c r="J159" s="190">
        <v>3566638</v>
      </c>
      <c r="K159" s="190">
        <v>810166</v>
      </c>
      <c r="L159" s="191"/>
      <c r="M159" s="182">
        <v>18100</v>
      </c>
      <c r="N159" s="182"/>
      <c r="O159" s="182"/>
      <c r="P159" s="182"/>
      <c r="Q159" s="162"/>
      <c r="R159" s="162"/>
    </row>
    <row r="160" spans="1:18" s="36" customFormat="1" ht="36" customHeight="1">
      <c r="A160" s="392"/>
      <c r="B160" s="90">
        <v>85404</v>
      </c>
      <c r="C160" s="91" t="s">
        <v>122</v>
      </c>
      <c r="D160" s="34"/>
      <c r="E160" s="117" t="s">
        <v>154</v>
      </c>
      <c r="F160" s="236">
        <v>145262</v>
      </c>
      <c r="G160" s="135">
        <f>H160+I160</f>
        <v>232044</v>
      </c>
      <c r="H160" s="144"/>
      <c r="I160" s="135">
        <f>SUM(J160:R160)</f>
        <v>232044</v>
      </c>
      <c r="J160" s="192"/>
      <c r="K160" s="192"/>
      <c r="L160" s="193">
        <v>232044</v>
      </c>
      <c r="M160" s="185"/>
      <c r="N160" s="185"/>
      <c r="O160" s="185"/>
      <c r="P160" s="185"/>
      <c r="Q160" s="152"/>
      <c r="R160" s="152"/>
    </row>
    <row r="161" spans="1:18" s="36" customFormat="1" ht="36" customHeight="1">
      <c r="A161" s="392"/>
      <c r="B161" s="311">
        <v>85406</v>
      </c>
      <c r="C161" s="308" t="s">
        <v>123</v>
      </c>
      <c r="D161" s="34"/>
      <c r="E161" s="117"/>
      <c r="F161" s="246">
        <f>F162+F163</f>
        <v>1461915</v>
      </c>
      <c r="G161" s="152">
        <f>G162+G163</f>
        <v>1459227</v>
      </c>
      <c r="H161" s="152">
        <f>H162+H163</f>
        <v>0</v>
      </c>
      <c r="I161" s="152">
        <f aca="true" t="shared" si="32" ref="I161:R161">I162+I163</f>
        <v>1459227</v>
      </c>
      <c r="J161" s="152">
        <f t="shared" si="32"/>
        <v>1246877</v>
      </c>
      <c r="K161" s="152">
        <f t="shared" si="32"/>
        <v>211864</v>
      </c>
      <c r="L161" s="152">
        <f t="shared" si="32"/>
        <v>0</v>
      </c>
      <c r="M161" s="152">
        <f t="shared" si="32"/>
        <v>486</v>
      </c>
      <c r="N161" s="152">
        <f t="shared" si="32"/>
        <v>0</v>
      </c>
      <c r="O161" s="152">
        <f t="shared" si="32"/>
        <v>0</v>
      </c>
      <c r="P161" s="152">
        <f t="shared" si="32"/>
        <v>0</v>
      </c>
      <c r="Q161" s="152">
        <f t="shared" si="32"/>
        <v>0</v>
      </c>
      <c r="R161" s="152">
        <f t="shared" si="32"/>
        <v>0</v>
      </c>
    </row>
    <row r="162" spans="1:18" s="36" customFormat="1" ht="27" customHeight="1">
      <c r="A162" s="392"/>
      <c r="B162" s="311"/>
      <c r="C162" s="309"/>
      <c r="D162" s="34"/>
      <c r="E162" s="105" t="s">
        <v>124</v>
      </c>
      <c r="F162" s="238">
        <v>978838</v>
      </c>
      <c r="G162" s="154">
        <f aca="true" t="shared" si="33" ref="G162:G168">H162+I162</f>
        <v>979760</v>
      </c>
      <c r="H162" s="154"/>
      <c r="I162" s="154">
        <f aca="true" t="shared" si="34" ref="I162:I168">SUM(J162:R162)</f>
        <v>979760</v>
      </c>
      <c r="J162" s="136">
        <v>824462</v>
      </c>
      <c r="K162" s="136">
        <v>154912</v>
      </c>
      <c r="L162" s="194"/>
      <c r="M162" s="194">
        <v>386</v>
      </c>
      <c r="N162" s="194"/>
      <c r="O162" s="194"/>
      <c r="P162" s="194"/>
      <c r="Q162" s="154"/>
      <c r="R162" s="154"/>
    </row>
    <row r="163" spans="1:18" s="36" customFormat="1" ht="17.25" customHeight="1">
      <c r="A163" s="392"/>
      <c r="B163" s="311"/>
      <c r="C163" s="310"/>
      <c r="D163" s="34"/>
      <c r="E163" s="126" t="s">
        <v>125</v>
      </c>
      <c r="F163" s="240">
        <v>483077</v>
      </c>
      <c r="G163" s="252">
        <f t="shared" si="33"/>
        <v>479467</v>
      </c>
      <c r="H163" s="162"/>
      <c r="I163" s="252">
        <f t="shared" si="34"/>
        <v>479467</v>
      </c>
      <c r="J163" s="142">
        <v>422415</v>
      </c>
      <c r="K163" s="142">
        <v>56952</v>
      </c>
      <c r="L163" s="196"/>
      <c r="M163" s="196">
        <v>100</v>
      </c>
      <c r="N163" s="196"/>
      <c r="O163" s="196"/>
      <c r="P163" s="196"/>
      <c r="Q163" s="195"/>
      <c r="R163" s="195"/>
    </row>
    <row r="164" spans="1:18" s="36" customFormat="1" ht="36" customHeight="1">
      <c r="A164" s="392"/>
      <c r="B164" s="64">
        <v>85407</v>
      </c>
      <c r="C164" s="64" t="s">
        <v>126</v>
      </c>
      <c r="D164" s="34"/>
      <c r="E164" s="117" t="s">
        <v>127</v>
      </c>
      <c r="F164" s="237">
        <v>379046</v>
      </c>
      <c r="G164" s="154">
        <f t="shared" si="33"/>
        <v>395496</v>
      </c>
      <c r="H164" s="152"/>
      <c r="I164" s="154">
        <f t="shared" si="34"/>
        <v>395496</v>
      </c>
      <c r="J164" s="151">
        <v>333815</v>
      </c>
      <c r="K164" s="151">
        <v>48833</v>
      </c>
      <c r="L164" s="185"/>
      <c r="M164" s="185">
        <v>12848</v>
      </c>
      <c r="N164" s="185"/>
      <c r="O164" s="185"/>
      <c r="P164" s="185"/>
      <c r="Q164" s="152"/>
      <c r="R164" s="152"/>
    </row>
    <row r="165" spans="1:18" s="36" customFormat="1" ht="24" customHeight="1">
      <c r="A165" s="392"/>
      <c r="B165" s="311">
        <v>85410</v>
      </c>
      <c r="C165" s="308" t="s">
        <v>128</v>
      </c>
      <c r="D165" s="34"/>
      <c r="E165" s="117"/>
      <c r="F165" s="237">
        <f>F166+F167+F168</f>
        <v>741955</v>
      </c>
      <c r="G165" s="154">
        <f t="shared" si="33"/>
        <v>683554</v>
      </c>
      <c r="H165" s="152"/>
      <c r="I165" s="154">
        <f t="shared" si="34"/>
        <v>683554</v>
      </c>
      <c r="J165" s="151">
        <f>J166+J167+J168</f>
        <v>370403</v>
      </c>
      <c r="K165" s="151">
        <f>K166+K167+K168</f>
        <v>129443</v>
      </c>
      <c r="L165" s="185">
        <f>L166+L167+L168</f>
        <v>183708</v>
      </c>
      <c r="M165" s="185"/>
      <c r="N165" s="185"/>
      <c r="O165" s="185"/>
      <c r="P165" s="185"/>
      <c r="Q165" s="152"/>
      <c r="R165" s="152"/>
    </row>
    <row r="166" spans="1:18" s="36" customFormat="1" ht="24" customHeight="1">
      <c r="A166" s="392"/>
      <c r="B166" s="311"/>
      <c r="C166" s="309"/>
      <c r="D166" s="34"/>
      <c r="E166" s="105" t="s">
        <v>91</v>
      </c>
      <c r="F166" s="238">
        <v>388700</v>
      </c>
      <c r="G166" s="154">
        <f t="shared" si="33"/>
        <v>346962</v>
      </c>
      <c r="H166" s="154"/>
      <c r="I166" s="154">
        <f t="shared" si="34"/>
        <v>346962</v>
      </c>
      <c r="J166" s="136">
        <v>259102</v>
      </c>
      <c r="K166" s="136">
        <v>87860</v>
      </c>
      <c r="L166" s="194"/>
      <c r="M166" s="194">
        <v>0</v>
      </c>
      <c r="N166" s="194"/>
      <c r="O166" s="194"/>
      <c r="P166" s="194"/>
      <c r="Q166" s="154"/>
      <c r="R166" s="154"/>
    </row>
    <row r="167" spans="1:18" s="36" customFormat="1" ht="20.25" customHeight="1">
      <c r="A167" s="392"/>
      <c r="B167" s="311"/>
      <c r="C167" s="309"/>
      <c r="D167" s="34"/>
      <c r="E167" s="123" t="s">
        <v>161</v>
      </c>
      <c r="F167" s="244">
        <v>153995</v>
      </c>
      <c r="G167" s="156">
        <f t="shared" si="33"/>
        <v>152884</v>
      </c>
      <c r="H167" s="156"/>
      <c r="I167" s="156">
        <f t="shared" si="34"/>
        <v>152884</v>
      </c>
      <c r="J167" s="139">
        <v>111301</v>
      </c>
      <c r="K167" s="139">
        <v>41583</v>
      </c>
      <c r="L167" s="197"/>
      <c r="M167" s="197">
        <v>0</v>
      </c>
      <c r="N167" s="197"/>
      <c r="O167" s="197"/>
      <c r="P167" s="197"/>
      <c r="Q167" s="156"/>
      <c r="R167" s="156"/>
    </row>
    <row r="168" spans="1:18" s="36" customFormat="1" ht="17.25" customHeight="1">
      <c r="A168" s="392"/>
      <c r="B168" s="311"/>
      <c r="C168" s="310"/>
      <c r="D168" s="34"/>
      <c r="E168" s="126" t="s">
        <v>154</v>
      </c>
      <c r="F168" s="245">
        <v>199260</v>
      </c>
      <c r="G168" s="195">
        <f t="shared" si="33"/>
        <v>183708</v>
      </c>
      <c r="H168" s="195"/>
      <c r="I168" s="195">
        <f t="shared" si="34"/>
        <v>183708</v>
      </c>
      <c r="J168" s="142"/>
      <c r="K168" s="142"/>
      <c r="L168" s="196">
        <v>183708</v>
      </c>
      <c r="M168" s="196"/>
      <c r="N168" s="196"/>
      <c r="O168" s="196"/>
      <c r="P168" s="196"/>
      <c r="Q168" s="195"/>
      <c r="R168" s="195"/>
    </row>
    <row r="169" spans="1:18" s="36" customFormat="1" ht="24">
      <c r="A169" s="392"/>
      <c r="B169" s="90">
        <v>85415</v>
      </c>
      <c r="C169" s="78" t="s">
        <v>34</v>
      </c>
      <c r="D169" s="34"/>
      <c r="E169" s="117"/>
      <c r="F169" s="246">
        <f>SUM(F170:F184)</f>
        <v>186083</v>
      </c>
      <c r="G169" s="152">
        <f>G170+G171+G172+G173+G174+G175+G176+G177+G178+G179+G180+G181+G182+G183+G184</f>
        <v>213803</v>
      </c>
      <c r="H169" s="152"/>
      <c r="I169" s="152">
        <f>SUM(J169:R169)</f>
        <v>213803</v>
      </c>
      <c r="J169" s="151">
        <f>J170+J171+J172+J173+J174+J175+J176+J177+J178+J179+J180+J181+J182+J183+J184</f>
        <v>0</v>
      </c>
      <c r="K169" s="151">
        <f>K170+K171+K172+K173+K174+K175+K176+K177+K178+K179+K180+K181+K182+K183+K184</f>
        <v>0</v>
      </c>
      <c r="L169" s="185"/>
      <c r="M169" s="185">
        <f>SUM(M170:M183)</f>
        <v>21300</v>
      </c>
      <c r="N169" s="185">
        <f>N170+N171+N172+N173+N174+N175+N176+N177+N178+N179+N180+N181+N182+N183+N184</f>
        <v>11503</v>
      </c>
      <c r="O169" s="185">
        <f>O170+O171+O172+O173+O174+O175+O176+O177+O178+O179+O180+O181+O182+O183+O184</f>
        <v>1000</v>
      </c>
      <c r="P169" s="185">
        <f>SUM(P170:P184)</f>
        <v>180000</v>
      </c>
      <c r="Q169" s="152"/>
      <c r="R169" s="152"/>
    </row>
    <row r="170" spans="1:18" s="36" customFormat="1" ht="16.5" customHeight="1">
      <c r="A170" s="392"/>
      <c r="B170" s="390"/>
      <c r="C170" s="316"/>
      <c r="D170" s="34"/>
      <c r="E170" s="105" t="s">
        <v>81</v>
      </c>
      <c r="F170" s="238">
        <v>2100</v>
      </c>
      <c r="G170" s="154">
        <f>H170+I170</f>
        <v>2100</v>
      </c>
      <c r="H170" s="154"/>
      <c r="I170" s="154">
        <f>SUM(J170:R170)</f>
        <v>2100</v>
      </c>
      <c r="J170" s="136"/>
      <c r="K170" s="136"/>
      <c r="L170" s="194"/>
      <c r="M170" s="194">
        <v>2100</v>
      </c>
      <c r="N170" s="194"/>
      <c r="O170" s="194"/>
      <c r="P170" s="194"/>
      <c r="Q170" s="154"/>
      <c r="R170" s="154"/>
    </row>
    <row r="171" spans="1:18" s="36" customFormat="1" ht="18" customHeight="1">
      <c r="A171" s="392"/>
      <c r="B171" s="391"/>
      <c r="C171" s="318"/>
      <c r="D171" s="34"/>
      <c r="E171" s="123" t="s">
        <v>82</v>
      </c>
      <c r="F171" s="244">
        <v>900</v>
      </c>
      <c r="G171" s="156">
        <f>H171+I171</f>
        <v>900</v>
      </c>
      <c r="H171" s="156"/>
      <c r="I171" s="156">
        <f>SUM(J171:R171)</f>
        <v>900</v>
      </c>
      <c r="J171" s="139"/>
      <c r="K171" s="139"/>
      <c r="L171" s="197"/>
      <c r="M171" s="197">
        <v>900</v>
      </c>
      <c r="N171" s="197"/>
      <c r="O171" s="197"/>
      <c r="P171" s="197"/>
      <c r="Q171" s="156"/>
      <c r="R171" s="156"/>
    </row>
    <row r="172" spans="1:18" s="36" customFormat="1" ht="24" customHeight="1">
      <c r="A172" s="392"/>
      <c r="B172" s="391"/>
      <c r="C172" s="318"/>
      <c r="D172" s="34"/>
      <c r="E172" s="123" t="s">
        <v>83</v>
      </c>
      <c r="F172" s="244">
        <v>1800</v>
      </c>
      <c r="G172" s="156">
        <f aca="true" t="shared" si="35" ref="G172:G183">H172+I172</f>
        <v>1800</v>
      </c>
      <c r="H172" s="156"/>
      <c r="I172" s="156">
        <f aca="true" t="shared" si="36" ref="I172:I183">SUM(J172:R172)</f>
        <v>1800</v>
      </c>
      <c r="J172" s="139"/>
      <c r="K172" s="139"/>
      <c r="L172" s="197"/>
      <c r="M172" s="197">
        <v>1800</v>
      </c>
      <c r="N172" s="197"/>
      <c r="O172" s="197"/>
      <c r="P172" s="197"/>
      <c r="Q172" s="156"/>
      <c r="R172" s="156"/>
    </row>
    <row r="173" spans="1:18" s="36" customFormat="1" ht="18.75" customHeight="1">
      <c r="A173" s="392"/>
      <c r="B173" s="391"/>
      <c r="C173" s="318"/>
      <c r="D173" s="34"/>
      <c r="E173" s="123" t="s">
        <v>84</v>
      </c>
      <c r="F173" s="244">
        <v>900</v>
      </c>
      <c r="G173" s="156">
        <f t="shared" si="35"/>
        <v>900</v>
      </c>
      <c r="H173" s="156"/>
      <c r="I173" s="156">
        <f t="shared" si="36"/>
        <v>900</v>
      </c>
      <c r="J173" s="139"/>
      <c r="K173" s="139"/>
      <c r="L173" s="197"/>
      <c r="M173" s="197">
        <v>900</v>
      </c>
      <c r="N173" s="197"/>
      <c r="O173" s="197"/>
      <c r="P173" s="197"/>
      <c r="Q173" s="156"/>
      <c r="R173" s="156"/>
    </row>
    <row r="174" spans="1:18" s="36" customFormat="1" ht="19.5" customHeight="1">
      <c r="A174" s="392"/>
      <c r="B174" s="391"/>
      <c r="C174" s="318"/>
      <c r="D174" s="34"/>
      <c r="E174" s="123" t="s">
        <v>89</v>
      </c>
      <c r="F174" s="244">
        <v>1800</v>
      </c>
      <c r="G174" s="156">
        <f t="shared" si="35"/>
        <v>1500</v>
      </c>
      <c r="H174" s="156"/>
      <c r="I174" s="156">
        <f t="shared" si="36"/>
        <v>1500</v>
      </c>
      <c r="J174" s="139"/>
      <c r="K174" s="139"/>
      <c r="L174" s="197"/>
      <c r="M174" s="197">
        <v>1500</v>
      </c>
      <c r="N174" s="197"/>
      <c r="O174" s="197"/>
      <c r="P174" s="197"/>
      <c r="Q174" s="156"/>
      <c r="R174" s="156"/>
    </row>
    <row r="175" spans="1:18" s="36" customFormat="1" ht="24">
      <c r="A175" s="392"/>
      <c r="B175" s="391"/>
      <c r="C175" s="318"/>
      <c r="D175" s="34"/>
      <c r="E175" s="123" t="s">
        <v>90</v>
      </c>
      <c r="F175" s="244">
        <v>3000</v>
      </c>
      <c r="G175" s="156">
        <f t="shared" si="35"/>
        <v>3000</v>
      </c>
      <c r="H175" s="156"/>
      <c r="I175" s="156">
        <f t="shared" si="36"/>
        <v>3000</v>
      </c>
      <c r="J175" s="139"/>
      <c r="K175" s="139"/>
      <c r="L175" s="197"/>
      <c r="M175" s="197">
        <v>3000</v>
      </c>
      <c r="N175" s="197"/>
      <c r="O175" s="197"/>
      <c r="P175" s="197"/>
      <c r="Q175" s="156"/>
      <c r="R175" s="156"/>
    </row>
    <row r="176" spans="1:18" s="36" customFormat="1" ht="18" customHeight="1">
      <c r="A176" s="392"/>
      <c r="B176" s="391"/>
      <c r="C176" s="318"/>
      <c r="D176" s="34"/>
      <c r="E176" s="123" t="s">
        <v>91</v>
      </c>
      <c r="F176" s="244">
        <v>1500</v>
      </c>
      <c r="G176" s="156">
        <f t="shared" si="35"/>
        <v>1500</v>
      </c>
      <c r="H176" s="156"/>
      <c r="I176" s="156">
        <f t="shared" si="36"/>
        <v>1500</v>
      </c>
      <c r="J176" s="139"/>
      <c r="K176" s="139"/>
      <c r="L176" s="197"/>
      <c r="M176" s="197">
        <v>1500</v>
      </c>
      <c r="N176" s="197"/>
      <c r="O176" s="197"/>
      <c r="P176" s="197"/>
      <c r="Q176" s="156"/>
      <c r="R176" s="156"/>
    </row>
    <row r="177" spans="1:18" s="36" customFormat="1" ht="20.25" customHeight="1">
      <c r="A177" s="392"/>
      <c r="B177" s="391"/>
      <c r="C177" s="318"/>
      <c r="D177" s="34"/>
      <c r="E177" s="123" t="s">
        <v>161</v>
      </c>
      <c r="F177" s="244">
        <v>2100</v>
      </c>
      <c r="G177" s="156">
        <f t="shared" si="35"/>
        <v>2100</v>
      </c>
      <c r="H177" s="156"/>
      <c r="I177" s="156">
        <f t="shared" si="36"/>
        <v>2100</v>
      </c>
      <c r="J177" s="139"/>
      <c r="K177" s="139"/>
      <c r="L177" s="197"/>
      <c r="M177" s="197">
        <v>2100</v>
      </c>
      <c r="N177" s="197"/>
      <c r="O177" s="197"/>
      <c r="P177" s="197"/>
      <c r="Q177" s="156"/>
      <c r="R177" s="156"/>
    </row>
    <row r="178" spans="1:18" s="36" customFormat="1" ht="24" customHeight="1">
      <c r="A178" s="392"/>
      <c r="B178" s="391"/>
      <c r="C178" s="318"/>
      <c r="D178" s="34"/>
      <c r="E178" s="123" t="s">
        <v>92</v>
      </c>
      <c r="F178" s="244">
        <v>1800</v>
      </c>
      <c r="G178" s="156">
        <f t="shared" si="35"/>
        <v>1800</v>
      </c>
      <c r="H178" s="156"/>
      <c r="I178" s="156">
        <f t="shared" si="36"/>
        <v>1800</v>
      </c>
      <c r="J178" s="139"/>
      <c r="K178" s="139"/>
      <c r="L178" s="197"/>
      <c r="M178" s="197">
        <v>1800</v>
      </c>
      <c r="N178" s="197"/>
      <c r="O178" s="197"/>
      <c r="P178" s="197"/>
      <c r="Q178" s="156"/>
      <c r="R178" s="156"/>
    </row>
    <row r="179" spans="1:18" s="36" customFormat="1" ht="17.25" customHeight="1">
      <c r="A179" s="392"/>
      <c r="B179" s="391"/>
      <c r="C179" s="318"/>
      <c r="D179" s="34"/>
      <c r="E179" s="123" t="s">
        <v>85</v>
      </c>
      <c r="F179" s="244">
        <v>900</v>
      </c>
      <c r="G179" s="156">
        <f t="shared" si="35"/>
        <v>900</v>
      </c>
      <c r="H179" s="156"/>
      <c r="I179" s="156">
        <f t="shared" si="36"/>
        <v>900</v>
      </c>
      <c r="J179" s="139"/>
      <c r="K179" s="139"/>
      <c r="L179" s="197"/>
      <c r="M179" s="197">
        <v>900</v>
      </c>
      <c r="N179" s="197"/>
      <c r="O179" s="197"/>
      <c r="P179" s="197"/>
      <c r="Q179" s="156"/>
      <c r="R179" s="156"/>
    </row>
    <row r="180" spans="1:18" s="36" customFormat="1" ht="23.25" customHeight="1">
      <c r="A180" s="392"/>
      <c r="B180" s="391"/>
      <c r="C180" s="318"/>
      <c r="D180" s="34"/>
      <c r="E180" s="123" t="s">
        <v>86</v>
      </c>
      <c r="F180" s="244">
        <v>900</v>
      </c>
      <c r="G180" s="156">
        <f t="shared" si="35"/>
        <v>900</v>
      </c>
      <c r="H180" s="156"/>
      <c r="I180" s="156">
        <f t="shared" si="36"/>
        <v>900</v>
      </c>
      <c r="J180" s="139"/>
      <c r="K180" s="139"/>
      <c r="L180" s="197"/>
      <c r="M180" s="197">
        <v>900</v>
      </c>
      <c r="N180" s="197"/>
      <c r="O180" s="197"/>
      <c r="P180" s="197"/>
      <c r="Q180" s="156"/>
      <c r="R180" s="156"/>
    </row>
    <row r="181" spans="1:18" s="36" customFormat="1" ht="24">
      <c r="A181" s="392"/>
      <c r="B181" s="391"/>
      <c r="C181" s="318"/>
      <c r="D181" s="34"/>
      <c r="E181" s="123" t="s">
        <v>93</v>
      </c>
      <c r="F181" s="244">
        <v>1200</v>
      </c>
      <c r="G181" s="156">
        <f t="shared" si="35"/>
        <v>1200</v>
      </c>
      <c r="H181" s="156"/>
      <c r="I181" s="156">
        <f t="shared" si="36"/>
        <v>1200</v>
      </c>
      <c r="J181" s="139"/>
      <c r="K181" s="139"/>
      <c r="L181" s="197"/>
      <c r="M181" s="197">
        <v>1200</v>
      </c>
      <c r="N181" s="197"/>
      <c r="O181" s="197"/>
      <c r="P181" s="197"/>
      <c r="Q181" s="156"/>
      <c r="R181" s="156"/>
    </row>
    <row r="182" spans="1:18" s="36" customFormat="1" ht="24.75" customHeight="1">
      <c r="A182" s="392"/>
      <c r="B182" s="391"/>
      <c r="C182" s="318"/>
      <c r="D182" s="34"/>
      <c r="E182" s="123" t="s">
        <v>94</v>
      </c>
      <c r="F182" s="244">
        <v>2100</v>
      </c>
      <c r="G182" s="156">
        <f t="shared" si="35"/>
        <v>1800</v>
      </c>
      <c r="H182" s="156"/>
      <c r="I182" s="156">
        <f t="shared" si="36"/>
        <v>1800</v>
      </c>
      <c r="J182" s="139"/>
      <c r="K182" s="139"/>
      <c r="L182" s="197"/>
      <c r="M182" s="197">
        <v>1800</v>
      </c>
      <c r="N182" s="197"/>
      <c r="O182" s="197"/>
      <c r="P182" s="197"/>
      <c r="Q182" s="156"/>
      <c r="R182" s="156"/>
    </row>
    <row r="183" spans="1:18" s="36" customFormat="1" ht="24">
      <c r="A183" s="392"/>
      <c r="B183" s="391"/>
      <c r="C183" s="318"/>
      <c r="D183" s="34"/>
      <c r="E183" s="123" t="s">
        <v>121</v>
      </c>
      <c r="F183" s="244">
        <v>600</v>
      </c>
      <c r="G183" s="156">
        <f t="shared" si="35"/>
        <v>900</v>
      </c>
      <c r="H183" s="156"/>
      <c r="I183" s="156">
        <f t="shared" si="36"/>
        <v>900</v>
      </c>
      <c r="J183" s="139"/>
      <c r="K183" s="139"/>
      <c r="L183" s="197"/>
      <c r="M183" s="197">
        <v>900</v>
      </c>
      <c r="N183" s="197"/>
      <c r="O183" s="197"/>
      <c r="P183" s="197"/>
      <c r="Q183" s="156"/>
      <c r="R183" s="156"/>
    </row>
    <row r="184" spans="1:18" s="36" customFormat="1" ht="19.5" customHeight="1">
      <c r="A184" s="392"/>
      <c r="B184" s="92"/>
      <c r="C184" s="69"/>
      <c r="D184" s="34"/>
      <c r="E184" s="126" t="s">
        <v>155</v>
      </c>
      <c r="F184" s="245">
        <v>164483</v>
      </c>
      <c r="G184" s="195">
        <f>H184+I184</f>
        <v>192503</v>
      </c>
      <c r="H184" s="195"/>
      <c r="I184" s="195">
        <f>SUM(J184:R184)</f>
        <v>192503</v>
      </c>
      <c r="J184" s="142"/>
      <c r="K184" s="142"/>
      <c r="L184" s="196"/>
      <c r="M184" s="196"/>
      <c r="N184" s="196">
        <v>11503</v>
      </c>
      <c r="O184" s="196">
        <v>1000</v>
      </c>
      <c r="P184" s="196">
        <v>180000</v>
      </c>
      <c r="Q184" s="195"/>
      <c r="R184" s="195"/>
    </row>
    <row r="185" spans="1:18" s="36" customFormat="1" ht="24">
      <c r="A185" s="392"/>
      <c r="B185" s="90">
        <v>85417</v>
      </c>
      <c r="C185" s="78" t="s">
        <v>129</v>
      </c>
      <c r="D185" s="34"/>
      <c r="E185" s="117"/>
      <c r="F185" s="246">
        <f>F186+F187+F188+F189</f>
        <v>628674</v>
      </c>
      <c r="G185" s="152">
        <f>H185+I185</f>
        <v>1880467</v>
      </c>
      <c r="H185" s="152">
        <f>H186+H187+H188+H189</f>
        <v>1257745</v>
      </c>
      <c r="I185" s="152">
        <f>SUM(J185:R185)</f>
        <v>622722</v>
      </c>
      <c r="J185" s="151">
        <f>J186+J187+J188</f>
        <v>418422</v>
      </c>
      <c r="K185" s="151">
        <f>K186+K187+K188</f>
        <v>20011</v>
      </c>
      <c r="L185" s="185">
        <f>L186+L187+L188</f>
        <v>184289</v>
      </c>
      <c r="M185" s="185"/>
      <c r="N185" s="185"/>
      <c r="O185" s="185"/>
      <c r="P185" s="185"/>
      <c r="Q185" s="152"/>
      <c r="R185" s="152"/>
    </row>
    <row r="186" spans="1:18" s="36" customFormat="1" ht="24">
      <c r="A186" s="392"/>
      <c r="B186" s="390"/>
      <c r="C186" s="316"/>
      <c r="D186" s="34"/>
      <c r="E186" s="105" t="s">
        <v>158</v>
      </c>
      <c r="F186" s="238">
        <v>200867</v>
      </c>
      <c r="G186" s="154">
        <f>H186+I186</f>
        <v>209258</v>
      </c>
      <c r="H186" s="154"/>
      <c r="I186" s="154">
        <f>SUM(J186:R186)</f>
        <v>209258</v>
      </c>
      <c r="J186" s="136">
        <v>200485</v>
      </c>
      <c r="K186" s="136">
        <v>8773</v>
      </c>
      <c r="L186" s="194"/>
      <c r="M186" s="194"/>
      <c r="N186" s="194"/>
      <c r="O186" s="194"/>
      <c r="P186" s="194"/>
      <c r="Q186" s="154"/>
      <c r="R186" s="154"/>
    </row>
    <row r="187" spans="1:18" s="36" customFormat="1" ht="26.25" customHeight="1">
      <c r="A187" s="392"/>
      <c r="B187" s="391"/>
      <c r="C187" s="318"/>
      <c r="D187" s="34"/>
      <c r="E187" s="123" t="s">
        <v>130</v>
      </c>
      <c r="F187" s="244">
        <v>231376</v>
      </c>
      <c r="G187" s="156">
        <f>H187+I187</f>
        <v>229175</v>
      </c>
      <c r="H187" s="156">
        <v>0</v>
      </c>
      <c r="I187" s="156">
        <f>SUM(J187:R187)</f>
        <v>229175</v>
      </c>
      <c r="J187" s="139">
        <v>217937</v>
      </c>
      <c r="K187" s="139">
        <v>11238</v>
      </c>
      <c r="L187" s="197"/>
      <c r="M187" s="197"/>
      <c r="N187" s="197"/>
      <c r="O187" s="197"/>
      <c r="P187" s="197"/>
      <c r="Q187" s="156"/>
      <c r="R187" s="156"/>
    </row>
    <row r="188" spans="1:18" s="36" customFormat="1" ht="19.5" customHeight="1">
      <c r="A188" s="392"/>
      <c r="B188" s="391"/>
      <c r="C188" s="318"/>
      <c r="D188" s="34"/>
      <c r="E188" s="123" t="s">
        <v>154</v>
      </c>
      <c r="F188" s="244">
        <v>176182</v>
      </c>
      <c r="G188" s="156">
        <f aca="true" t="shared" si="37" ref="G188:G194">H188+I188</f>
        <v>184289</v>
      </c>
      <c r="H188" s="156"/>
      <c r="I188" s="156">
        <f aca="true" t="shared" si="38" ref="I188:I194">SUM(J188:R188)</f>
        <v>184289</v>
      </c>
      <c r="J188" s="139"/>
      <c r="K188" s="139"/>
      <c r="L188" s="197">
        <v>184289</v>
      </c>
      <c r="M188" s="197"/>
      <c r="N188" s="197"/>
      <c r="O188" s="197"/>
      <c r="P188" s="197"/>
      <c r="Q188" s="156"/>
      <c r="R188" s="156"/>
    </row>
    <row r="189" spans="1:18" s="36" customFormat="1" ht="19.5" customHeight="1">
      <c r="A189" s="392"/>
      <c r="B189" s="92"/>
      <c r="C189" s="69"/>
      <c r="D189" s="34"/>
      <c r="E189" s="126" t="s">
        <v>167</v>
      </c>
      <c r="F189" s="245">
        <v>20249</v>
      </c>
      <c r="G189" s="156">
        <f t="shared" si="37"/>
        <v>1257745</v>
      </c>
      <c r="H189" s="195">
        <v>1257745</v>
      </c>
      <c r="I189" s="195"/>
      <c r="J189" s="142"/>
      <c r="K189" s="142"/>
      <c r="L189" s="196"/>
      <c r="M189" s="196"/>
      <c r="N189" s="196"/>
      <c r="O189" s="196"/>
      <c r="P189" s="196"/>
      <c r="Q189" s="195"/>
      <c r="R189" s="195"/>
    </row>
    <row r="190" spans="1:18" s="36" customFormat="1" ht="36">
      <c r="A190" s="392"/>
      <c r="B190" s="90">
        <v>85419</v>
      </c>
      <c r="C190" s="78" t="s">
        <v>131</v>
      </c>
      <c r="D190" s="34"/>
      <c r="E190" s="117" t="s">
        <v>154</v>
      </c>
      <c r="F190" s="237">
        <v>3056586</v>
      </c>
      <c r="G190" s="154">
        <f t="shared" si="37"/>
        <v>3489480</v>
      </c>
      <c r="H190" s="152"/>
      <c r="I190" s="154">
        <f t="shared" si="38"/>
        <v>3489480</v>
      </c>
      <c r="J190" s="151"/>
      <c r="K190" s="151"/>
      <c r="L190" s="185">
        <v>3489480</v>
      </c>
      <c r="M190" s="185"/>
      <c r="N190" s="185"/>
      <c r="O190" s="185"/>
      <c r="P190" s="185"/>
      <c r="Q190" s="152"/>
      <c r="R190" s="152"/>
    </row>
    <row r="191" spans="1:18" s="36" customFormat="1" ht="36">
      <c r="A191" s="392"/>
      <c r="B191" s="90">
        <v>85446</v>
      </c>
      <c r="C191" s="78" t="s">
        <v>97</v>
      </c>
      <c r="D191" s="34"/>
      <c r="E191" s="117" t="s">
        <v>154</v>
      </c>
      <c r="F191" s="237">
        <v>53201</v>
      </c>
      <c r="G191" s="154">
        <f t="shared" si="37"/>
        <v>37389</v>
      </c>
      <c r="H191" s="152"/>
      <c r="I191" s="154">
        <f t="shared" si="38"/>
        <v>37389</v>
      </c>
      <c r="J191" s="151"/>
      <c r="K191" s="151">
        <v>37389</v>
      </c>
      <c r="L191" s="185"/>
      <c r="M191" s="185"/>
      <c r="N191" s="185"/>
      <c r="O191" s="185"/>
      <c r="P191" s="185"/>
      <c r="Q191" s="152"/>
      <c r="R191" s="152"/>
    </row>
    <row r="192" spans="1:18" s="36" customFormat="1" ht="24">
      <c r="A192" s="392"/>
      <c r="B192" s="90">
        <v>85495</v>
      </c>
      <c r="C192" s="78" t="s">
        <v>9</v>
      </c>
      <c r="D192" s="34"/>
      <c r="E192" s="117"/>
      <c r="F192" s="237">
        <v>85263</v>
      </c>
      <c r="G192" s="154">
        <f>H192+I192</f>
        <v>88820</v>
      </c>
      <c r="H192" s="152"/>
      <c r="I192" s="154">
        <f t="shared" si="38"/>
        <v>88820</v>
      </c>
      <c r="J192" s="151"/>
      <c r="K192" s="151">
        <f>K193+K194</f>
        <v>58820</v>
      </c>
      <c r="L192" s="185">
        <f>L193+L194</f>
        <v>30000</v>
      </c>
      <c r="M192" s="185"/>
      <c r="N192" s="185"/>
      <c r="O192" s="185"/>
      <c r="P192" s="185"/>
      <c r="Q192" s="152"/>
      <c r="R192" s="152"/>
    </row>
    <row r="193" spans="1:18" s="36" customFormat="1" ht="16.5" customHeight="1">
      <c r="A193" s="392"/>
      <c r="B193" s="390"/>
      <c r="C193" s="316"/>
      <c r="D193" s="34"/>
      <c r="E193" s="105" t="s">
        <v>132</v>
      </c>
      <c r="F193" s="238"/>
      <c r="G193" s="154">
        <f t="shared" si="37"/>
        <v>58820</v>
      </c>
      <c r="H193" s="154"/>
      <c r="I193" s="154">
        <f t="shared" si="38"/>
        <v>58820</v>
      </c>
      <c r="J193" s="136"/>
      <c r="K193" s="136">
        <v>58820</v>
      </c>
      <c r="L193" s="194"/>
      <c r="M193" s="194"/>
      <c r="N193" s="194"/>
      <c r="O193" s="194"/>
      <c r="P193" s="194"/>
      <c r="Q193" s="154"/>
      <c r="R193" s="154"/>
    </row>
    <row r="194" spans="1:18" s="36" customFormat="1" ht="18" customHeight="1" thickBot="1">
      <c r="A194" s="392"/>
      <c r="B194" s="391"/>
      <c r="C194" s="318"/>
      <c r="D194" s="52"/>
      <c r="E194" s="126" t="s">
        <v>154</v>
      </c>
      <c r="F194" s="241"/>
      <c r="G194" s="159">
        <f t="shared" si="37"/>
        <v>30000</v>
      </c>
      <c r="H194" s="159"/>
      <c r="I194" s="159">
        <f t="shared" si="38"/>
        <v>30000</v>
      </c>
      <c r="J194" s="158"/>
      <c r="K194" s="158"/>
      <c r="L194" s="198">
        <v>30000</v>
      </c>
      <c r="M194" s="198"/>
      <c r="N194" s="198"/>
      <c r="O194" s="198"/>
      <c r="P194" s="198"/>
      <c r="Q194" s="159"/>
      <c r="R194" s="159"/>
    </row>
    <row r="195" spans="1:18" s="2" customFormat="1" ht="48.75" thickBot="1">
      <c r="A195" s="287">
        <v>900</v>
      </c>
      <c r="B195" s="277"/>
      <c r="C195" s="270" t="s">
        <v>35</v>
      </c>
      <c r="D195" s="271">
        <f>SUM(D196:D196)</f>
        <v>80500</v>
      </c>
      <c r="E195" s="272"/>
      <c r="F195" s="235">
        <f>F196</f>
        <v>337458</v>
      </c>
      <c r="G195" s="273">
        <f>G196</f>
        <v>205000</v>
      </c>
      <c r="H195" s="273">
        <f>H196</f>
        <v>77000</v>
      </c>
      <c r="I195" s="273">
        <f aca="true" t="shared" si="39" ref="I195:R195">I196</f>
        <v>128000</v>
      </c>
      <c r="J195" s="273">
        <f t="shared" si="39"/>
        <v>0</v>
      </c>
      <c r="K195" s="273">
        <f t="shared" si="39"/>
        <v>103000</v>
      </c>
      <c r="L195" s="273">
        <f t="shared" si="39"/>
        <v>25000</v>
      </c>
      <c r="M195" s="273">
        <f t="shared" si="39"/>
        <v>0</v>
      </c>
      <c r="N195" s="273">
        <f t="shared" si="39"/>
        <v>0</v>
      </c>
      <c r="O195" s="273">
        <f t="shared" si="39"/>
        <v>0</v>
      </c>
      <c r="P195" s="273">
        <f t="shared" si="39"/>
        <v>0</v>
      </c>
      <c r="Q195" s="273">
        <f t="shared" si="39"/>
        <v>0</v>
      </c>
      <c r="R195" s="273">
        <f t="shared" si="39"/>
        <v>0</v>
      </c>
    </row>
    <row r="196" spans="1:18" s="2" customFormat="1" ht="24" customHeight="1" thickBot="1">
      <c r="A196" s="286"/>
      <c r="B196" s="38">
        <v>90095</v>
      </c>
      <c r="C196" s="223" t="s">
        <v>9</v>
      </c>
      <c r="D196" s="47">
        <v>80500</v>
      </c>
      <c r="E196" s="129" t="s">
        <v>142</v>
      </c>
      <c r="F196" s="240">
        <v>337458</v>
      </c>
      <c r="G196" s="130">
        <f>H196+I196</f>
        <v>205000</v>
      </c>
      <c r="H196" s="130">
        <v>77000</v>
      </c>
      <c r="I196" s="130">
        <f>SUM(J196:R196)</f>
        <v>128000</v>
      </c>
      <c r="J196" s="109"/>
      <c r="K196" s="109">
        <v>103000</v>
      </c>
      <c r="L196" s="110">
        <v>25000</v>
      </c>
      <c r="M196" s="109"/>
      <c r="N196" s="109"/>
      <c r="O196" s="109"/>
      <c r="P196" s="109"/>
      <c r="Q196" s="108"/>
      <c r="R196" s="108"/>
    </row>
    <row r="197" spans="1:18" s="2" customFormat="1" ht="36.75" thickBot="1">
      <c r="A197" s="276">
        <v>921</v>
      </c>
      <c r="B197" s="277"/>
      <c r="C197" s="270" t="s">
        <v>36</v>
      </c>
      <c r="D197" s="271">
        <f>SUM(D198:D200)</f>
        <v>177000</v>
      </c>
      <c r="E197" s="272"/>
      <c r="F197" s="235">
        <f>F198+F199+F200</f>
        <v>1537163</v>
      </c>
      <c r="G197" s="273">
        <f>G198+G199+G200</f>
        <v>1585673</v>
      </c>
      <c r="H197" s="273">
        <f>H198+H199+H200</f>
        <v>0</v>
      </c>
      <c r="I197" s="273">
        <f aca="true" t="shared" si="40" ref="I197:R197">I198+I199+I200</f>
        <v>1585673</v>
      </c>
      <c r="J197" s="273">
        <f t="shared" si="40"/>
        <v>1000</v>
      </c>
      <c r="K197" s="273">
        <f t="shared" si="40"/>
        <v>82600</v>
      </c>
      <c r="L197" s="273">
        <f t="shared" si="40"/>
        <v>1374173</v>
      </c>
      <c r="M197" s="273">
        <f t="shared" si="40"/>
        <v>9000</v>
      </c>
      <c r="N197" s="273">
        <f t="shared" si="40"/>
        <v>0</v>
      </c>
      <c r="O197" s="273">
        <f t="shared" si="40"/>
        <v>118900</v>
      </c>
      <c r="P197" s="273">
        <f t="shared" si="40"/>
        <v>0</v>
      </c>
      <c r="Q197" s="273">
        <f t="shared" si="40"/>
        <v>0</v>
      </c>
      <c r="R197" s="273">
        <f t="shared" si="40"/>
        <v>0</v>
      </c>
    </row>
    <row r="198" spans="1:18" s="2" customFormat="1" ht="18.75" customHeight="1">
      <c r="A198" s="334"/>
      <c r="B198" s="62">
        <v>92116</v>
      </c>
      <c r="C198" s="62" t="s">
        <v>37</v>
      </c>
      <c r="D198" s="45">
        <v>175000</v>
      </c>
      <c r="E198" s="94" t="s">
        <v>143</v>
      </c>
      <c r="F198" s="236">
        <v>121200</v>
      </c>
      <c r="G198" s="95">
        <f>H198+I198</f>
        <v>124000</v>
      </c>
      <c r="H198" s="95"/>
      <c r="I198" s="95">
        <f>SUM(J198:R198)</f>
        <v>124000</v>
      </c>
      <c r="J198" s="103"/>
      <c r="K198" s="103"/>
      <c r="L198" s="103">
        <v>124000</v>
      </c>
      <c r="M198" s="95"/>
      <c r="N198" s="95"/>
      <c r="O198" s="95"/>
      <c r="P198" s="95"/>
      <c r="Q198" s="95"/>
      <c r="R198" s="95"/>
    </row>
    <row r="199" spans="1:18" s="2" customFormat="1" ht="21" customHeight="1">
      <c r="A199" s="334"/>
      <c r="B199" s="61">
        <v>92118</v>
      </c>
      <c r="C199" s="61" t="s">
        <v>133</v>
      </c>
      <c r="D199" s="11"/>
      <c r="E199" s="117" t="s">
        <v>143</v>
      </c>
      <c r="F199" s="246">
        <v>1139773</v>
      </c>
      <c r="G199" s="118">
        <f>H199+I199</f>
        <v>1195173</v>
      </c>
      <c r="H199" s="118"/>
      <c r="I199" s="118">
        <f>SUM(J199:R199)</f>
        <v>1195173</v>
      </c>
      <c r="J199" s="119"/>
      <c r="K199" s="119"/>
      <c r="L199" s="119">
        <f>1195173</f>
        <v>1195173</v>
      </c>
      <c r="M199" s="118"/>
      <c r="N199" s="118"/>
      <c r="O199" s="118"/>
      <c r="P199" s="118"/>
      <c r="Q199" s="118"/>
      <c r="R199" s="118"/>
    </row>
    <row r="200" spans="1:18" s="2" customFormat="1" ht="24" customHeight="1" thickBot="1">
      <c r="A200" s="334"/>
      <c r="B200" s="61">
        <v>92195</v>
      </c>
      <c r="C200" s="61" t="s">
        <v>9</v>
      </c>
      <c r="D200" s="48">
        <v>2000</v>
      </c>
      <c r="E200" s="99" t="s">
        <v>143</v>
      </c>
      <c r="F200" s="237">
        <v>276190</v>
      </c>
      <c r="G200" s="100">
        <f>H200+I200</f>
        <v>266500</v>
      </c>
      <c r="H200" s="100"/>
      <c r="I200" s="100">
        <f>SUM(J200:R200)</f>
        <v>266500</v>
      </c>
      <c r="J200" s="104">
        <v>1000</v>
      </c>
      <c r="K200" s="104">
        <v>82600</v>
      </c>
      <c r="L200" s="104">
        <v>55000</v>
      </c>
      <c r="M200" s="100">
        <v>9000</v>
      </c>
      <c r="N200" s="100"/>
      <c r="O200" s="100">
        <v>118900</v>
      </c>
      <c r="P200" s="100"/>
      <c r="Q200" s="100"/>
      <c r="R200" s="100"/>
    </row>
    <row r="201" spans="1:18" s="2" customFormat="1" ht="24.75" thickBot="1">
      <c r="A201" s="276">
        <v>926</v>
      </c>
      <c r="B201" s="277"/>
      <c r="C201" s="270" t="s">
        <v>38</v>
      </c>
      <c r="D201" s="271">
        <f>SUM(D202:D202)</f>
        <v>314180</v>
      </c>
      <c r="E201" s="272"/>
      <c r="F201" s="235">
        <f>F202</f>
        <v>137800</v>
      </c>
      <c r="G201" s="273">
        <f>G202</f>
        <v>144000</v>
      </c>
      <c r="H201" s="273">
        <f>H202</f>
        <v>0</v>
      </c>
      <c r="I201" s="273">
        <f>I202</f>
        <v>144000</v>
      </c>
      <c r="J201" s="273">
        <f>J202</f>
        <v>0</v>
      </c>
      <c r="K201" s="273">
        <f aca="true" t="shared" si="41" ref="K201:R201">K202</f>
        <v>26000</v>
      </c>
      <c r="L201" s="273">
        <f t="shared" si="41"/>
        <v>105000</v>
      </c>
      <c r="M201" s="273">
        <f t="shared" si="41"/>
        <v>13000</v>
      </c>
      <c r="N201" s="273">
        <f t="shared" si="41"/>
        <v>0</v>
      </c>
      <c r="O201" s="273">
        <f t="shared" si="41"/>
        <v>0</v>
      </c>
      <c r="P201" s="273">
        <f t="shared" si="41"/>
        <v>0</v>
      </c>
      <c r="Q201" s="273">
        <f t="shared" si="41"/>
        <v>0</v>
      </c>
      <c r="R201" s="273">
        <f t="shared" si="41"/>
        <v>0</v>
      </c>
    </row>
    <row r="202" spans="1:18" s="17" customFormat="1" ht="36" customHeight="1">
      <c r="A202" s="303"/>
      <c r="B202" s="61">
        <v>92605</v>
      </c>
      <c r="C202" s="61" t="s">
        <v>39</v>
      </c>
      <c r="D202" s="11">
        <v>314180</v>
      </c>
      <c r="E202" s="199" t="s">
        <v>143</v>
      </c>
      <c r="F202" s="246">
        <v>137800</v>
      </c>
      <c r="G202" s="144">
        <f>H202+I202</f>
        <v>144000</v>
      </c>
      <c r="H202" s="144"/>
      <c r="I202" s="144">
        <f>SUM(J202:R202)</f>
        <v>144000</v>
      </c>
      <c r="J202" s="192"/>
      <c r="K202" s="192">
        <v>26000</v>
      </c>
      <c r="L202" s="192">
        <v>105000</v>
      </c>
      <c r="M202" s="144">
        <v>13000</v>
      </c>
      <c r="N202" s="144"/>
      <c r="O202" s="144"/>
      <c r="P202" s="144"/>
      <c r="Q202" s="144"/>
      <c r="R202" s="144"/>
    </row>
    <row r="203" spans="1:18" s="21" customFormat="1" ht="26.25" customHeight="1">
      <c r="A203" s="67"/>
      <c r="B203" s="18"/>
      <c r="C203" s="19" t="s">
        <v>40</v>
      </c>
      <c r="D203" s="20" t="e">
        <f>D201+D197+D195+D158+D152+D124+D113+D62+D55+D52+#REF!+D45+#REF!+D32+D26+D22+D14+#REF!</f>
        <v>#REF!</v>
      </c>
      <c r="E203" s="211"/>
      <c r="F203" s="248">
        <f>F11+F14+F19+F22+F26+F32+F45+F52+F55+F62+F113+F124+F152+F158+F195+F197+F201</f>
        <v>164734153</v>
      </c>
      <c r="G203" s="200">
        <f>G11+G14+G19+G22+G26+G32+G45+G52+G55+G62++G113+G124+G152+G158+G195+G197+G201</f>
        <v>168422300</v>
      </c>
      <c r="H203" s="200">
        <f aca="true" t="shared" si="42" ref="H203:R203">H11+H14+H19+H22+H26+H32+H45+H52+H55+H62+H113+H124+H152+H158+H195+H197+H201</f>
        <v>42536159</v>
      </c>
      <c r="I203" s="200">
        <f t="shared" si="42"/>
        <v>125886141</v>
      </c>
      <c r="J203" s="200">
        <f t="shared" si="42"/>
        <v>66392011</v>
      </c>
      <c r="K203" s="200">
        <f t="shared" si="42"/>
        <v>31910880</v>
      </c>
      <c r="L203" s="200">
        <f t="shared" si="42"/>
        <v>17499031</v>
      </c>
      <c r="M203" s="200">
        <f t="shared" si="42"/>
        <v>5458502</v>
      </c>
      <c r="N203" s="200">
        <f t="shared" si="42"/>
        <v>806382</v>
      </c>
      <c r="O203" s="200">
        <f t="shared" si="42"/>
        <v>1229468</v>
      </c>
      <c r="P203" s="200">
        <f t="shared" si="42"/>
        <v>243594</v>
      </c>
      <c r="Q203" s="200">
        <f t="shared" si="42"/>
        <v>417759</v>
      </c>
      <c r="R203" s="200">
        <f t="shared" si="42"/>
        <v>1928514</v>
      </c>
    </row>
    <row r="204" spans="1:18" ht="12.75">
      <c r="A204" s="22"/>
      <c r="B204" s="22"/>
      <c r="C204" s="23"/>
      <c r="D204" s="24"/>
      <c r="E204" s="24"/>
      <c r="F204" s="251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2.75">
      <c r="A205" s="22"/>
      <c r="B205" s="22"/>
      <c r="C205" s="23"/>
      <c r="D205" s="24"/>
      <c r="E205" s="24"/>
      <c r="F205" s="251"/>
      <c r="G205" s="25"/>
      <c r="H205" s="25"/>
      <c r="I205" s="25"/>
      <c r="J205" s="26"/>
      <c r="K205" s="25"/>
      <c r="L205" s="25"/>
      <c r="M205" s="25"/>
      <c r="N205" s="25"/>
      <c r="O205" s="25"/>
      <c r="P205" s="25"/>
      <c r="Q205" s="25"/>
      <c r="R205" s="25"/>
    </row>
    <row r="206" spans="1:18" ht="12.75">
      <c r="A206" s="22"/>
      <c r="B206" s="22"/>
      <c r="C206" s="23"/>
      <c r="D206" s="24"/>
      <c r="E206" s="24"/>
      <c r="F206" s="251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4:18" ht="12.75">
      <c r="D207" s="27"/>
      <c r="E207" s="27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4:18" ht="12.75">
      <c r="D208" s="27"/>
      <c r="E208" s="2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4:18" ht="12.75">
      <c r="D209" s="27"/>
      <c r="E209" s="27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4:18" ht="12.75">
      <c r="D210" s="27"/>
      <c r="E210" s="27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4:18" ht="12.75">
      <c r="D211" s="27"/>
      <c r="E211" s="27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4:18" ht="12.75">
      <c r="D212" s="27"/>
      <c r="E212" s="27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7:18" ht="12.75"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7:18" ht="12.75"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7:18" ht="12.75"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7:18" ht="12.75"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7:18" ht="12.75"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7:18" ht="12.75"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7:18" ht="12.75"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7:18" ht="12.75"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7:18" ht="12.75"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7:18" ht="12.75"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7:18" ht="12.75"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7:18" ht="12.75"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7:18" ht="12.75"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7:18" ht="12.75"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7:18" ht="12.75"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7:18" ht="12.75"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7:18" ht="12.75"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7:18" ht="12.75"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7:18" ht="12.75"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7:18" ht="12.75"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7:18" ht="12.75"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7:18" ht="12.75"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7:18" ht="12.75"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</sheetData>
  <sheetProtection/>
  <mergeCells count="62">
    <mergeCell ref="B170:C183"/>
    <mergeCell ref="C165:C168"/>
    <mergeCell ref="B165:B168"/>
    <mergeCell ref="A198:A200"/>
    <mergeCell ref="A159:A194"/>
    <mergeCell ref="B186:C188"/>
    <mergeCell ref="B193:C194"/>
    <mergeCell ref="A114:A123"/>
    <mergeCell ref="A63:A112"/>
    <mergeCell ref="A15:A16"/>
    <mergeCell ref="A20:A21"/>
    <mergeCell ref="A56:A61"/>
    <mergeCell ref="A46:A51"/>
    <mergeCell ref="A33:A44"/>
    <mergeCell ref="A27:A30"/>
    <mergeCell ref="B64:C71"/>
    <mergeCell ref="B74:C75"/>
    <mergeCell ref="R8:R9"/>
    <mergeCell ref="J8:K8"/>
    <mergeCell ref="Q8:Q9"/>
    <mergeCell ref="L8:L9"/>
    <mergeCell ref="M8:M9"/>
    <mergeCell ref="C16:C18"/>
    <mergeCell ref="B16:B18"/>
    <mergeCell ref="C23:C25"/>
    <mergeCell ref="A12:A13"/>
    <mergeCell ref="D6:D9"/>
    <mergeCell ref="C6:C9"/>
    <mergeCell ref="I7:I9"/>
    <mergeCell ref="H7:H9"/>
    <mergeCell ref="E6:E9"/>
    <mergeCell ref="F6:F9"/>
    <mergeCell ref="B98:C112"/>
    <mergeCell ref="N2:R2"/>
    <mergeCell ref="N3:R3"/>
    <mergeCell ref="H6:R6"/>
    <mergeCell ref="J7:R7"/>
    <mergeCell ref="A4:R4"/>
    <mergeCell ref="A6:A9"/>
    <mergeCell ref="N8:P8"/>
    <mergeCell ref="B6:B9"/>
    <mergeCell ref="G6:G9"/>
    <mergeCell ref="B142:B144"/>
    <mergeCell ref="B23:B25"/>
    <mergeCell ref="C35:C40"/>
    <mergeCell ref="B35:B40"/>
    <mergeCell ref="C115:C122"/>
    <mergeCell ref="B115:B122"/>
    <mergeCell ref="B77:C86"/>
    <mergeCell ref="B89:C89"/>
    <mergeCell ref="B91:C93"/>
    <mergeCell ref="B95:C96"/>
    <mergeCell ref="B156:B157"/>
    <mergeCell ref="A153:A157"/>
    <mergeCell ref="C161:C163"/>
    <mergeCell ref="B161:B163"/>
    <mergeCell ref="C156:C157"/>
    <mergeCell ref="A125:A150"/>
    <mergeCell ref="B126:C130"/>
    <mergeCell ref="B132:C136"/>
    <mergeCell ref="B146:C150"/>
    <mergeCell ref="C142:C144"/>
  </mergeCells>
  <printOptions/>
  <pageMargins left="0.69" right="0.17" top="0.7874015748031497" bottom="0.5905511811023623" header="0.4724409448818898" footer="0.5118110236220472"/>
  <pageSetup orientation="landscape" paperSize="9" scale="61" r:id="rId1"/>
  <rowBreaks count="8" manualBreakCount="8">
    <brk id="29" max="17" man="1"/>
    <brk id="68" max="17" man="1"/>
    <brk id="89" max="17" man="1"/>
    <brk id="112" max="17" man="1"/>
    <brk id="133" max="17" man="1"/>
    <brk id="153" max="17" man="1"/>
    <brk id="176" max="17" man="1"/>
    <brk id="1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2010-11-15T09:46:05Z</cp:lastPrinted>
  <dcterms:created xsi:type="dcterms:W3CDTF">2009-11-02T10:14:29Z</dcterms:created>
  <dcterms:modified xsi:type="dcterms:W3CDTF">2010-12-01T13:02:51Z</dcterms:modified>
  <cp:category/>
  <cp:version/>
  <cp:contentType/>
  <cp:contentStatus/>
</cp:coreProperties>
</file>