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tabela 4" sheetId="1" r:id="rId1"/>
  </sheets>
  <definedNames>
    <definedName name="_xlnm._FilterDatabase" localSheetId="0" hidden="1">'tabela 4'!$A$5:$H$517</definedName>
    <definedName name="_xlnm.Print_Area" localSheetId="0">'tabela 4'!$A$1:$F$517</definedName>
    <definedName name="_xlnm.Print_Titles" localSheetId="0">'tabela 4'!$5:$6</definedName>
  </definedNames>
  <calcPr fullCalcOnLoad="1"/>
</workbook>
</file>

<file path=xl/sharedStrings.xml><?xml version="1.0" encoding="utf-8"?>
<sst xmlns="http://schemas.openxmlformats.org/spreadsheetml/2006/main" count="541" uniqueCount="200">
  <si>
    <t>Dział</t>
  </si>
  <si>
    <t>Treść</t>
  </si>
  <si>
    <t>Plan po zmianach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</si>
  <si>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</si>
  <si>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</si>
  <si>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</si>
  <si>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</si>
  <si>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Urzędy wojewódzkie</t>
  </si>
  <si>
    <t>Komendy powiatowe PSP</t>
  </si>
  <si>
    <t>Składki na ubezpieczenia zdrowotne oraz świadczenia dla osób nie objętych obowiązkiem ubezpieczenia zdrowotnego</t>
  </si>
  <si>
    <t>Placówki opiekuńczo-wychowawcze</t>
  </si>
  <si>
    <t>Domy pomocy społecznej</t>
  </si>
  <si>
    <t>Tabela nr 4</t>
  </si>
  <si>
    <t>Rozdz.</t>
  </si>
  <si>
    <t>w tym:</t>
  </si>
  <si>
    <t>a) wydatki bieżące</t>
  </si>
  <si>
    <t>Leśnictwo</t>
  </si>
  <si>
    <t>Gospodarka leśna</t>
  </si>
  <si>
    <t>Nadzór nad gospodarką leśną</t>
  </si>
  <si>
    <t>Transport i łączność</t>
  </si>
  <si>
    <t>Drogi publiczne wojewódzkie</t>
  </si>
  <si>
    <t>a) wydatki bieżące:</t>
  </si>
  <si>
    <t>Drogi publiczne powiatowe</t>
  </si>
  <si>
    <t>b) wydatki majątkowe</t>
  </si>
  <si>
    <t>według jednostek odpowiedzialnych za realizację budżetu:</t>
  </si>
  <si>
    <t>- Powiatowy Zarząd Dróg Publicznych</t>
  </si>
  <si>
    <t>- Starostwo Powiatowe</t>
  </si>
  <si>
    <t>Turystyka</t>
  </si>
  <si>
    <t>Zadania w zakresie upowszechniania turystyki</t>
  </si>
  <si>
    <t>Pozostała działalność</t>
  </si>
  <si>
    <t>Gospodarka mieszkaniowa</t>
  </si>
  <si>
    <t>Gospodarka gruntami i nieruchomościami</t>
  </si>
  <si>
    <t>Działalność usługowa</t>
  </si>
  <si>
    <t>Administracja publiczna</t>
  </si>
  <si>
    <t>Rady powiatów</t>
  </si>
  <si>
    <t>Starostwa powiatowe</t>
  </si>
  <si>
    <t>Bezpieczeństwo publiczne i ochrona przeciwpożarowa</t>
  </si>
  <si>
    <t>Obrona Cywilna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</si>
  <si>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</si>
  <si>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</si>
  <si>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</si>
  <si>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</si>
  <si>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- rezerwa ogólna</t>
  </si>
  <si>
    <t>- rezerwa celowa oświatowa</t>
  </si>
  <si>
    <t>Oświata i wychowanie</t>
  </si>
  <si>
    <t>Licea ogólnokształcące</t>
  </si>
  <si>
    <t>- ZSO Skoczów</t>
  </si>
  <si>
    <t>- I LO im. Osuchowskiego</t>
  </si>
  <si>
    <t>- ZSG-H Wisła</t>
  </si>
  <si>
    <t>- ZSP Ustroń</t>
  </si>
  <si>
    <t>- ZSP Istebna</t>
  </si>
  <si>
    <t>Licea profilowane</t>
  </si>
  <si>
    <t>- ZSZ Skoczów</t>
  </si>
  <si>
    <t>- ZSE-G Cieszyn</t>
  </si>
  <si>
    <t>- ZSB Cieszyn</t>
  </si>
  <si>
    <t>- Starostwo Powiatowe (dotacje)</t>
  </si>
  <si>
    <t>Szkoły zawodowe</t>
  </si>
  <si>
    <t>- ZSGH Wisła</t>
  </si>
  <si>
    <t>- ZSEG Cieszyn</t>
  </si>
  <si>
    <t>Centra kształcenia ustawicznego i praktycznego oraz ośrodki dokształcania zawodowego</t>
  </si>
  <si>
    <t>- CKP Bażanowice</t>
  </si>
  <si>
    <t>Doskonalenie i dokształcanie nauczycieli</t>
  </si>
  <si>
    <t>- LO im. Osuchowskiego Cieszyn</t>
  </si>
  <si>
    <t>Ochrona zdrowia</t>
  </si>
  <si>
    <t>Szpitale ogólne</t>
  </si>
  <si>
    <t>- Powiatowy Urząd Pracy</t>
  </si>
  <si>
    <t>- PCPR</t>
  </si>
  <si>
    <t>- SOSW Cieszyn</t>
  </si>
  <si>
    <t>- DD Cieszyn</t>
  </si>
  <si>
    <t>- RDD Zamarski</t>
  </si>
  <si>
    <t>- DPS Skoczów</t>
  </si>
  <si>
    <t>Pomoc społeczna</t>
  </si>
  <si>
    <t>- DD w Cieszynie</t>
  </si>
  <si>
    <t xml:space="preserve">- PCPR </t>
  </si>
  <si>
    <t>- DPS Cieszyn</t>
  </si>
  <si>
    <t>- DPS Kończyce Małe</t>
  </si>
  <si>
    <t>- DPS Pogórze</t>
  </si>
  <si>
    <t>Rodziny zastępcze</t>
  </si>
  <si>
    <t>Powiatowe centra pomocy rodzinie</t>
  </si>
  <si>
    <t>Pozostałe zadania w zakresie polityki społecznej</t>
  </si>
  <si>
    <t>Zespoły do spraw orzekania o stopniu niepełnosprawności</t>
  </si>
  <si>
    <t>Powiatowe urzędy pracy</t>
  </si>
  <si>
    <t>Dokształcanie i doskonalenie nauczycieli</t>
  </si>
  <si>
    <t>Edukacyjna opieka wychowawcza</t>
  </si>
  <si>
    <t>Specjalne ośrodki szkolno-wychowawcze</t>
  </si>
  <si>
    <t>jednostka odpowiedzialna za realizację budżetu:</t>
  </si>
  <si>
    <t>- Specjalny Ośrodek Szkolno-Wych. Cieszyn</t>
  </si>
  <si>
    <t>Poradnie psychologiczno-pedagogiczne</t>
  </si>
  <si>
    <t>- PPP Cieszyn</t>
  </si>
  <si>
    <t>- PPP Skoczów</t>
  </si>
  <si>
    <t>Placówki wychowania pozaszkolnego</t>
  </si>
  <si>
    <t>OPP Koniaków</t>
  </si>
  <si>
    <t>Internaty i bursy szkolne</t>
  </si>
  <si>
    <t>Pomoc materialna dla uczniów</t>
  </si>
  <si>
    <t>Szkolne Schroniska Młodzieżowe</t>
  </si>
  <si>
    <t>- SSM Istebna</t>
  </si>
  <si>
    <t>Ośrodki rewalidacyjno - wychowawcze</t>
  </si>
  <si>
    <t>- OREW Cieszyn</t>
  </si>
  <si>
    <t>- OPP Koniaków</t>
  </si>
  <si>
    <t>Gospodarka komunalna i ochrona środowiska</t>
  </si>
  <si>
    <t>Kultura i ochrona dziedzictwa narodowego</t>
  </si>
  <si>
    <t>Biblioteki</t>
  </si>
  <si>
    <t>Muzea</t>
  </si>
  <si>
    <t>Kultura fizyczna i sport</t>
  </si>
  <si>
    <t>Zadania w zakresie kultury fizycznej i sportu</t>
  </si>
  <si>
    <t>OGÓŁEM</t>
  </si>
  <si>
    <t>a) wydatki bieżące, z czego:</t>
  </si>
  <si>
    <t>- dotacje na zadania bieżące</t>
  </si>
  <si>
    <t>- wydatki na obsługę długu</t>
  </si>
  <si>
    <t>Wskaźnik 5:4</t>
  </si>
  <si>
    <t>020</t>
  </si>
  <si>
    <t>W Y D A T K I</t>
  </si>
  <si>
    <t>02001</t>
  </si>
  <si>
    <t>02002</t>
  </si>
  <si>
    <t>Komendy powiatowe Policji</t>
  </si>
  <si>
    <t>Ośrodki adopcyjno - opiekuńcze</t>
  </si>
  <si>
    <t>Rehabilitacja zawodowa i społeczna osób niepełnosprawnych</t>
  </si>
  <si>
    <t>jednostki odpowiedzialne za realizację budżetu:</t>
  </si>
  <si>
    <t xml:space="preserve">            * dotacje</t>
  </si>
  <si>
    <t xml:space="preserve">            * wydatki majątkowe</t>
  </si>
  <si>
    <t xml:space="preserve">                        * dotacje</t>
  </si>
  <si>
    <t xml:space="preserve">                        * wydatki majątkowe</t>
  </si>
  <si>
    <t>- OERW Ustroń</t>
  </si>
  <si>
    <t>- ZSO Wisła</t>
  </si>
  <si>
    <t xml:space="preserve">- Starostwo Powiatowe, w tym: </t>
  </si>
  <si>
    <t>- ZSR Międzyświeć</t>
  </si>
  <si>
    <t>Wczesne wspomaganie rozwoju dziecka</t>
  </si>
  <si>
    <t>Ośrodki wsparcia</t>
  </si>
  <si>
    <t>- OPDiR DD Międzyświeć</t>
  </si>
  <si>
    <t>Promocja jednostek samorządu terytorialnego</t>
  </si>
  <si>
    <t>Zarządzanie kryzysowe</t>
  </si>
  <si>
    <t>- rezerwa celowa na inwestycje i zakupy inwestycyjne</t>
  </si>
  <si>
    <t>- rezerwa celowa na zadania w zakresie zarządzania kryzysowego</t>
  </si>
  <si>
    <t>- rezerwa celowa na wkłady własne do projektów w dziedzinie kultury</t>
  </si>
  <si>
    <t>Stołówki szkolne</t>
  </si>
  <si>
    <t>- ZST Cieszyn</t>
  </si>
  <si>
    <t xml:space="preserve">                        * dotacja dla SSM Wiecha</t>
  </si>
  <si>
    <t>Wykonanie za I półrocze</t>
  </si>
  <si>
    <t xml:space="preserve">a) wydatki bieżące </t>
  </si>
  <si>
    <t xml:space="preserve"> - Starostwo Powiatowe</t>
  </si>
  <si>
    <t xml:space="preserve"> - Starostwo Powiatowe (dotacje)</t>
  </si>
  <si>
    <t xml:space="preserve"> - ZSGH Wisła</t>
  </si>
  <si>
    <t>wynagrodzenia</t>
  </si>
  <si>
    <t xml:space="preserve"> - Starostwo Powiatowe (WE)</t>
  </si>
  <si>
    <t>majątkowe</t>
  </si>
  <si>
    <t>dotacje</t>
  </si>
  <si>
    <t>pozostałe</t>
  </si>
  <si>
    <t xml:space="preserve"> - dotacje na zadania bieżące</t>
  </si>
  <si>
    <t>Zadania w zakresie przeciwdziałania przemocy w rodzinie</t>
  </si>
  <si>
    <t xml:space="preserve"> - wydatki związane z realizacją zadań statutowych jednostek budżetowych</t>
  </si>
  <si>
    <t>- wynagrodzenia i składki od nich naliczane</t>
  </si>
  <si>
    <t xml:space="preserve"> - wypłaty z tytułu poręczeń i gwarancji</t>
  </si>
  <si>
    <t>Rozliczenia z tytułu poręczeń i gwarancji udzielonych przez Skarb Państwa lub jednostkę samorządu terytorialnego</t>
  </si>
  <si>
    <t>a) wydatki bieżące (wypłaty z tyt. poręczeń i gwarancji)</t>
  </si>
  <si>
    <t>a) wydatki bieżące (obsługa długu)</t>
  </si>
  <si>
    <t>a) wydatki bieżące (dotacje na zadania bieżące)</t>
  </si>
  <si>
    <t xml:space="preserve"> - wynagrodzenia i składki od nich naliczane</t>
  </si>
  <si>
    <t>a) wydatki bieżące (wynagrodzenia i składki od nich naliczane)</t>
  </si>
  <si>
    <t>a) wydatki bieżące (wydatki związane z realizacją zadań statutowych jednostek budżetowych)</t>
  </si>
  <si>
    <t>a) wydatki bieżące (wydatki związane z realziacją zadań statutowych jednostek budżetowych)</t>
  </si>
  <si>
    <t>75406</t>
  </si>
  <si>
    <t>Straż Graniczna</t>
  </si>
  <si>
    <t>- świadczenia na rzecz osób fizycznych</t>
  </si>
  <si>
    <t>a) wydatki bieżące  (świadczenia na rzecz osób fizycznych)</t>
  </si>
  <si>
    <t>- wynagrodzenia i skłądki od nich naliczane</t>
  </si>
  <si>
    <t>a) wydatki bieżące (wydatki związane z realizacją zadań statutowych jendostek budżetowych)</t>
  </si>
  <si>
    <t>a) wydatki bieżące (dotacja na zadania bieżące)</t>
  </si>
  <si>
    <t>a) wydatki bieżące (wydatki związane z realizacją zadań statutowych jednsotek budżetowych)</t>
  </si>
  <si>
    <t xml:space="preserve">a) wydatki bieżące (dotacja na zadania bieżące) </t>
  </si>
  <si>
    <t>a) wydatki bieżące ( wydatki związane z realizacją zadań statutowych jednostek budżetowych )</t>
  </si>
  <si>
    <t>- wydatki na programy finansowane z udziałem środków o których mowa w art.. 5 ust. 3 pkt 2 i 3, w tym:</t>
  </si>
  <si>
    <t>- pozostałe wydatki</t>
  </si>
  <si>
    <t xml:space="preserve"> - SSM Wisła Malinka</t>
  </si>
  <si>
    <t>Kwalifikacja wojskowa</t>
  </si>
  <si>
    <t>- II LO im. Kopernika</t>
  </si>
  <si>
    <t xml:space="preserve">                        * pozostałe</t>
  </si>
  <si>
    <t>- II LO im. Kopernika Cieszyn</t>
  </si>
  <si>
    <t>a) wydatki bieżące, w tym:</t>
  </si>
  <si>
    <t>wydatki na obsługe długu</t>
  </si>
  <si>
    <t>- wydatki związane z realizacją zadań statutowych jednostek budżetowych</t>
  </si>
  <si>
    <t>WYKONANIE ZA I PÓŁROCZE 2011 R.</t>
  </si>
  <si>
    <t>- ZS Cieszyn</t>
  </si>
  <si>
    <t>-  wydatki związane z realizacją zadań statutowych jednostek budżetowych</t>
  </si>
  <si>
    <t xml:space="preserve"> - ZS Cieszyn</t>
  </si>
  <si>
    <t>- ZS  Cieszynie</t>
  </si>
  <si>
    <t>60016</t>
  </si>
  <si>
    <t>Drogi publiczne gminne</t>
  </si>
  <si>
    <t>Urzędy naczelnych organów włądzy państwowej, kontroli i ochrony prawa oraz sądownictwa</t>
  </si>
  <si>
    <t>75109</t>
  </si>
  <si>
    <t>Wybory do rad gmin, rad powiatów i sejmików województw oraz referenda gminne, powiatowe i wojewódzkie</t>
  </si>
  <si>
    <t>- rezerwa celowa na inwestycje i zakupy inwestycyjne w zakresie zarządzania kryzysowego</t>
  </si>
  <si>
    <t>80102</t>
  </si>
  <si>
    <t>Szkoły podstawowe specjalne</t>
  </si>
  <si>
    <t>- ZS w Cieszynie</t>
  </si>
  <si>
    <t xml:space="preserve"> * pozostałe</t>
  </si>
  <si>
    <t>Starostwa Powiatowe</t>
  </si>
  <si>
    <t>- I LO im. Osuchowskiego Cieszyn</t>
  </si>
  <si>
    <t>- Starostwo Powiatowe (w. majątkowe)</t>
  </si>
  <si>
    <t>Wpływy i wydatki związane z gromadzeniem środków z opłat i kar za korzystanie ze środowiska</t>
  </si>
  <si>
    <t>-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</si>
</sst>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</numFmts>
  <fonts count="44">
    <font>
      <sz val="10"/>
      <name val="Arial CE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i/>
      <sz val="8"/>
      <color indexed="8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 style="thin"/>
      <right style="thin"/>
      <top style="thin"/>
      <bottom style="dotted">
        <color indexed="8"/>
      </bottom>
    </border>
    <border>
      <left style="thin"/>
      <right>
        <color indexed="63"/>
      </right>
      <top style="dotted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right" vertical="center" wrapText="1"/>
    </xf>
    <xf numFmtId="167" fontId="2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3" fontId="2" fillId="0" borderId="13" xfId="0" applyNumberFormat="1" applyFont="1" applyBorder="1" applyAlignment="1">
      <alignment horizontal="right" vertical="center" wrapText="1"/>
    </xf>
    <xf numFmtId="167" fontId="2" fillId="0" borderId="14" xfId="0" applyNumberFormat="1" applyFont="1" applyBorder="1" applyAlignment="1">
      <alignment horizontal="right" vertical="center" wrapText="1"/>
    </xf>
    <xf numFmtId="167" fontId="2" fillId="0" borderId="15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167" fontId="2" fillId="0" borderId="19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167" fontId="2" fillId="0" borderId="20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167" fontId="2" fillId="0" borderId="22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3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3" fontId="3" fillId="0" borderId="23" xfId="0" applyNumberFormat="1" applyFont="1" applyBorder="1" applyAlignment="1">
      <alignment horizontal="right" vertical="top" wrapText="1"/>
    </xf>
    <xf numFmtId="0" fontId="3" fillId="0" borderId="28" xfId="0" applyFont="1" applyBorder="1" applyAlignment="1">
      <alignment horizontal="right" vertical="top" wrapText="1"/>
    </xf>
    <xf numFmtId="3" fontId="2" fillId="0" borderId="30" xfId="0" applyNumberFormat="1" applyFont="1" applyBorder="1" applyAlignment="1">
      <alignment horizontal="right" vertical="top" wrapText="1"/>
    </xf>
    <xf numFmtId="10" fontId="2" fillId="0" borderId="23" xfId="0" applyNumberFormat="1" applyFont="1" applyBorder="1" applyAlignment="1">
      <alignment horizontal="right" vertical="top" wrapText="1"/>
    </xf>
    <xf numFmtId="10" fontId="2" fillId="0" borderId="27" xfId="0" applyNumberFormat="1" applyFont="1" applyBorder="1" applyAlignment="1">
      <alignment horizontal="right" vertical="top" wrapText="1"/>
    </xf>
    <xf numFmtId="3" fontId="2" fillId="0" borderId="31" xfId="0" applyNumberFormat="1" applyFont="1" applyBorder="1" applyAlignment="1">
      <alignment horizontal="right" vertical="top" wrapText="1"/>
    </xf>
    <xf numFmtId="10" fontId="2" fillId="0" borderId="32" xfId="0" applyNumberFormat="1" applyFont="1" applyBorder="1" applyAlignment="1">
      <alignment horizontal="right" vertical="top" wrapText="1"/>
    </xf>
    <xf numFmtId="3" fontId="2" fillId="0" borderId="33" xfId="0" applyNumberFormat="1" applyFont="1" applyBorder="1" applyAlignment="1">
      <alignment horizontal="right" vertical="top" wrapText="1"/>
    </xf>
    <xf numFmtId="10" fontId="2" fillId="0" borderId="34" xfId="0" applyNumberFormat="1" applyFont="1" applyBorder="1" applyAlignment="1">
      <alignment horizontal="right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167" fontId="4" fillId="0" borderId="23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167" fontId="4" fillId="0" borderId="10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 wrapText="1"/>
    </xf>
    <xf numFmtId="167" fontId="4" fillId="0" borderId="11" xfId="0" applyNumberFormat="1" applyFont="1" applyBorder="1" applyAlignment="1">
      <alignment horizontal="right" vertical="center" wrapText="1"/>
    </xf>
    <xf numFmtId="167" fontId="4" fillId="0" borderId="15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167" fontId="4" fillId="0" borderId="19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167" fontId="4" fillId="0" borderId="27" xfId="0" applyNumberFormat="1" applyFont="1" applyBorder="1" applyAlignment="1">
      <alignment horizontal="right" vertical="center" wrapText="1"/>
    </xf>
    <xf numFmtId="0" fontId="5" fillId="0" borderId="35" xfId="0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3" fontId="2" fillId="0" borderId="19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49" fontId="2" fillId="0" borderId="19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2" fillId="0" borderId="15" xfId="0" applyFont="1" applyBorder="1" applyAlignment="1" quotePrefix="1">
      <alignment vertical="center" wrapText="1"/>
    </xf>
    <xf numFmtId="3" fontId="3" fillId="0" borderId="20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49" fontId="2" fillId="0" borderId="15" xfId="0" applyNumberFormat="1" applyFont="1" applyBorder="1" applyAlignment="1" quotePrefix="1">
      <alignment vertical="center" wrapText="1"/>
    </xf>
    <xf numFmtId="3" fontId="8" fillId="0" borderId="2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2" fillId="0" borderId="20" xfId="0" applyFont="1" applyBorder="1" applyAlignment="1" quotePrefix="1">
      <alignment vertical="center" wrapText="1"/>
    </xf>
    <xf numFmtId="3" fontId="4" fillId="0" borderId="14" xfId="0" applyNumberFormat="1" applyFont="1" applyBorder="1" applyAlignment="1">
      <alignment horizontal="right" vertical="center" wrapText="1"/>
    </xf>
    <xf numFmtId="167" fontId="4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167" fontId="4" fillId="0" borderId="20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0" fontId="3" fillId="0" borderId="37" xfId="0" applyFont="1" applyBorder="1" applyAlignment="1">
      <alignment/>
    </xf>
    <xf numFmtId="3" fontId="2" fillId="0" borderId="27" xfId="0" applyNumberFormat="1" applyFont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167" fontId="2" fillId="0" borderId="1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3" fontId="5" fillId="0" borderId="20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49" fontId="3" fillId="0" borderId="22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0" fontId="3" fillId="0" borderId="38" xfId="0" applyFont="1" applyBorder="1" applyAlignment="1">
      <alignment/>
    </xf>
    <xf numFmtId="0" fontId="0" fillId="0" borderId="38" xfId="0" applyBorder="1" applyAlignment="1">
      <alignment/>
    </xf>
    <xf numFmtId="0" fontId="3" fillId="0" borderId="28" xfId="0" applyFont="1" applyBorder="1" applyAlignment="1">
      <alignment horizontal="right" vertical="center" wrapText="1"/>
    </xf>
    <xf numFmtId="167" fontId="2" fillId="0" borderId="23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3" fontId="2" fillId="0" borderId="39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vertical="center" wrapText="1"/>
    </xf>
    <xf numFmtId="49" fontId="3" fillId="0" borderId="2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35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27" xfId="0" applyNumberFormat="1" applyFont="1" applyBorder="1" applyAlignment="1">
      <alignment vertical="top" wrapText="1"/>
    </xf>
    <xf numFmtId="49" fontId="2" fillId="0" borderId="20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 quotePrefix="1">
      <alignment vertical="center" wrapText="1"/>
    </xf>
    <xf numFmtId="49" fontId="2" fillId="0" borderId="20" xfId="0" applyNumberFormat="1" applyFont="1" applyBorder="1" applyAlignment="1" quotePrefix="1">
      <alignment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49" fontId="4" fillId="0" borderId="36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2" fillId="0" borderId="41" xfId="0" applyNumberFormat="1" applyFont="1" applyBorder="1" applyAlignment="1">
      <alignment vertical="center" wrapText="1"/>
    </xf>
    <xf numFmtId="49" fontId="5" fillId="0" borderId="41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5" fillId="0" borderId="26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49" fontId="2" fillId="0" borderId="15" xfId="0" applyNumberFormat="1" applyFont="1" applyBorder="1" applyAlignment="1">
      <alignment horizontal="left" vertical="center" wrapText="1" indent="4"/>
    </xf>
    <xf numFmtId="0" fontId="2" fillId="0" borderId="12" xfId="0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vertical="top" wrapText="1"/>
    </xf>
    <xf numFmtId="0" fontId="2" fillId="0" borderId="22" xfId="0" applyFont="1" applyBorder="1" applyAlignment="1">
      <alignment horizontal="left" vertical="center" wrapText="1"/>
    </xf>
    <xf numFmtId="3" fontId="3" fillId="33" borderId="15" xfId="0" applyNumberFormat="1" applyFont="1" applyFill="1" applyBorder="1" applyAlignment="1">
      <alignment horizontal="right" vertical="center" wrapText="1"/>
    </xf>
    <xf numFmtId="3" fontId="3" fillId="33" borderId="16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3" fontId="2" fillId="33" borderId="21" xfId="0" applyNumberFormat="1" applyFont="1" applyFill="1" applyBorder="1" applyAlignment="1">
      <alignment horizontal="right" vertical="center" wrapText="1"/>
    </xf>
    <xf numFmtId="0" fontId="3" fillId="0" borderId="36" xfId="0" applyFont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 quotePrefix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3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5" fillId="0" borderId="30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2" fillId="0" borderId="42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48" xfId="0" applyFont="1" applyBorder="1" applyAlignment="1" quotePrefix="1">
      <alignment vertical="top" wrapText="1"/>
    </xf>
    <xf numFmtId="0" fontId="2" fillId="0" borderId="49" xfId="0" applyFont="1" applyBorder="1" applyAlignment="1">
      <alignment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 quotePrefix="1">
      <alignment horizontal="center" vertical="top" wrapText="1"/>
    </xf>
    <xf numFmtId="49" fontId="4" fillId="0" borderId="10" xfId="0" applyNumberFormat="1" applyFont="1" applyBorder="1" applyAlignment="1" quotePrefix="1">
      <alignment horizontal="center" vertical="top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9"/>
  <sheetViews>
    <sheetView tabSelected="1" view="pageBreakPreview" zoomScale="90" zoomScaleNormal="75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E1" sqref="E1:F1"/>
    </sheetView>
  </sheetViews>
  <sheetFormatPr defaultColWidth="9.00390625" defaultRowHeight="12.75"/>
  <cols>
    <col min="1" max="1" width="8.25390625" style="0" customWidth="1"/>
    <col min="2" max="2" width="9.00390625" style="0" customWidth="1"/>
    <col min="3" max="3" width="59.25390625" style="0" customWidth="1"/>
    <col min="4" max="4" width="15.875" style="0" customWidth="1"/>
    <col min="5" max="5" width="15.00390625" style="0" customWidth="1"/>
    <col min="6" max="6" width="13.125" style="0" customWidth="1"/>
    <col min="7" max="7" width="12.00390625" style="0" customWidth="1"/>
    <col min="8" max="8" width="15.875" style="0" customWidth="1"/>
  </cols>
  <sheetData>
    <row r="1" spans="1:7" ht="12.75" customHeight="1">
      <c r="A1" s="28"/>
      <c r="B1" s="28"/>
      <c r="C1" s="28"/>
      <c r="D1" s="28"/>
      <c r="E1" s="228" t="s">
        <v>12</v>
      </c>
      <c r="F1" s="228"/>
      <c r="G1" s="28"/>
    </row>
    <row r="2" spans="1:7" ht="19.5" customHeight="1">
      <c r="A2" s="225" t="s">
        <v>111</v>
      </c>
      <c r="B2" s="225"/>
      <c r="C2" s="225"/>
      <c r="D2" s="225"/>
      <c r="E2" s="225"/>
      <c r="F2" s="225"/>
      <c r="G2" s="28"/>
    </row>
    <row r="3" spans="1:7" ht="19.5" customHeight="1">
      <c r="A3" s="225" t="s">
        <v>180</v>
      </c>
      <c r="B3" s="225"/>
      <c r="C3" s="225"/>
      <c r="D3" s="225"/>
      <c r="E3" s="225"/>
      <c r="F3" s="225"/>
      <c r="G3" s="28"/>
    </row>
    <row r="4" spans="1:7" ht="9" customHeight="1">
      <c r="A4" s="28"/>
      <c r="B4" s="28"/>
      <c r="C4" s="28"/>
      <c r="D4" s="28"/>
      <c r="E4" s="28"/>
      <c r="F4" s="28"/>
      <c r="G4" s="28"/>
    </row>
    <row r="5" spans="1:7" ht="31.5">
      <c r="A5" s="29" t="s">
        <v>0</v>
      </c>
      <c r="B5" s="29" t="s">
        <v>13</v>
      </c>
      <c r="C5" s="29" t="s">
        <v>1</v>
      </c>
      <c r="D5" s="29" t="s">
        <v>2</v>
      </c>
      <c r="E5" s="30" t="s">
        <v>137</v>
      </c>
      <c r="F5" s="30" t="s">
        <v>109</v>
      </c>
      <c r="G5" s="28"/>
    </row>
    <row r="6" spans="1:7" ht="15.75">
      <c r="A6" s="51">
        <v>1</v>
      </c>
      <c r="B6" s="52">
        <v>2</v>
      </c>
      <c r="C6" s="51">
        <v>3</v>
      </c>
      <c r="D6" s="51">
        <v>4</v>
      </c>
      <c r="E6" s="52">
        <v>5</v>
      </c>
      <c r="F6" s="51">
        <v>6</v>
      </c>
      <c r="G6" s="28"/>
    </row>
    <row r="7" spans="1:7" ht="15.75">
      <c r="A7" s="226" t="s">
        <v>110</v>
      </c>
      <c r="B7" s="31"/>
      <c r="C7" s="6" t="s">
        <v>16</v>
      </c>
      <c r="D7" s="27">
        <f>D8+D11</f>
        <v>261896</v>
      </c>
      <c r="E7" s="27">
        <v>117241.7</v>
      </c>
      <c r="F7" s="55">
        <f aca="true" t="shared" si="0" ref="F7:F61">E7/D7</f>
        <v>0.44766510370528756</v>
      </c>
      <c r="G7" s="28"/>
    </row>
    <row r="8" spans="1:7" ht="15.75">
      <c r="A8" s="196"/>
      <c r="B8" s="227" t="s">
        <v>112</v>
      </c>
      <c r="C8" s="132" t="s">
        <v>17</v>
      </c>
      <c r="D8" s="56">
        <f>D10</f>
        <v>103030</v>
      </c>
      <c r="E8" s="56">
        <v>51067.5</v>
      </c>
      <c r="F8" s="60">
        <f t="shared" si="0"/>
        <v>0.4956566048723673</v>
      </c>
      <c r="G8" s="28"/>
    </row>
    <row r="9" spans="1:7" ht="15.75">
      <c r="A9" s="196"/>
      <c r="B9" s="192"/>
      <c r="C9" s="79" t="s">
        <v>14</v>
      </c>
      <c r="D9" s="62"/>
      <c r="E9" s="63"/>
      <c r="F9" s="64"/>
      <c r="G9" s="28"/>
    </row>
    <row r="10" spans="1:7" ht="31.5">
      <c r="A10" s="196"/>
      <c r="B10" s="192"/>
      <c r="C10" s="134" t="s">
        <v>159</v>
      </c>
      <c r="D10" s="22">
        <v>103030</v>
      </c>
      <c r="E10" s="11">
        <v>51067.5</v>
      </c>
      <c r="F10" s="9">
        <f t="shared" si="0"/>
        <v>0.4956566048723673</v>
      </c>
      <c r="G10" s="28"/>
    </row>
    <row r="11" spans="1:7" ht="15.75">
      <c r="A11" s="196"/>
      <c r="B11" s="194" t="s">
        <v>113</v>
      </c>
      <c r="C11" s="135" t="s">
        <v>18</v>
      </c>
      <c r="D11" s="65">
        <f>D13</f>
        <v>158866</v>
      </c>
      <c r="E11" s="65">
        <v>66174.2</v>
      </c>
      <c r="F11" s="57">
        <f t="shared" si="0"/>
        <v>0.41654098422569963</v>
      </c>
      <c r="G11" s="28"/>
    </row>
    <row r="12" spans="1:7" ht="15.75">
      <c r="A12" s="196"/>
      <c r="B12" s="192"/>
      <c r="C12" s="79" t="s">
        <v>14</v>
      </c>
      <c r="D12" s="62"/>
      <c r="E12" s="63"/>
      <c r="F12" s="64"/>
      <c r="G12" s="28"/>
    </row>
    <row r="13" spans="1:7" ht="15.75">
      <c r="A13" s="196"/>
      <c r="B13" s="192"/>
      <c r="C13" s="136" t="s">
        <v>155</v>
      </c>
      <c r="D13" s="22">
        <v>158866</v>
      </c>
      <c r="E13" s="11">
        <v>66174.2</v>
      </c>
      <c r="F13" s="19">
        <f t="shared" si="0"/>
        <v>0.41654098422569963</v>
      </c>
      <c r="G13" s="28"/>
    </row>
    <row r="14" spans="1:7" ht="15.75">
      <c r="A14" s="2">
        <v>600</v>
      </c>
      <c r="B14" s="137"/>
      <c r="C14" s="135" t="s">
        <v>19</v>
      </c>
      <c r="D14" s="27">
        <f>D15+D20+D30</f>
        <v>32097021</v>
      </c>
      <c r="E14" s="27">
        <v>8244242.47</v>
      </c>
      <c r="F14" s="55">
        <f t="shared" si="0"/>
        <v>0.25685382048383865</v>
      </c>
      <c r="G14" s="28"/>
    </row>
    <row r="15" spans="1:7" ht="15.75">
      <c r="A15" s="32"/>
      <c r="B15" s="191">
        <v>60013</v>
      </c>
      <c r="C15" s="132" t="s">
        <v>20</v>
      </c>
      <c r="D15" s="56">
        <f>D17</f>
        <v>3521010</v>
      </c>
      <c r="E15" s="56">
        <v>2651480.03</v>
      </c>
      <c r="F15" s="60">
        <f t="shared" si="0"/>
        <v>0.7530452995021314</v>
      </c>
      <c r="G15" s="28"/>
    </row>
    <row r="16" spans="1:7" ht="15.75">
      <c r="A16" s="32"/>
      <c r="B16" s="192"/>
      <c r="C16" s="79" t="s">
        <v>14</v>
      </c>
      <c r="D16" s="62"/>
      <c r="E16" s="63"/>
      <c r="F16" s="64"/>
      <c r="G16" s="28"/>
    </row>
    <row r="17" spans="1:7" ht="15.75">
      <c r="A17" s="32"/>
      <c r="B17" s="192"/>
      <c r="C17" s="80" t="s">
        <v>21</v>
      </c>
      <c r="D17" s="22">
        <v>3521010</v>
      </c>
      <c r="E17" s="22">
        <v>2651480.03</v>
      </c>
      <c r="F17" s="9">
        <f t="shared" si="0"/>
        <v>0.7530452995021314</v>
      </c>
      <c r="G17" s="28"/>
    </row>
    <row r="18" spans="1:7" ht="15.75">
      <c r="A18" s="32"/>
      <c r="B18" s="192"/>
      <c r="C18" s="80" t="s">
        <v>156</v>
      </c>
      <c r="D18" s="22">
        <v>242279</v>
      </c>
      <c r="E18" s="11">
        <v>130351.2</v>
      </c>
      <c r="F18" s="9">
        <f t="shared" si="0"/>
        <v>0.5380210418567024</v>
      </c>
      <c r="G18" s="28"/>
    </row>
    <row r="19" spans="1:7" ht="31.5">
      <c r="A19" s="32"/>
      <c r="B19" s="192"/>
      <c r="C19" s="134" t="s">
        <v>149</v>
      </c>
      <c r="D19" s="22">
        <f>D17-D18</f>
        <v>3278731</v>
      </c>
      <c r="E19" s="22">
        <v>2521128.83</v>
      </c>
      <c r="F19" s="16">
        <f t="shared" si="0"/>
        <v>0.7689343316057341</v>
      </c>
      <c r="G19" s="28"/>
    </row>
    <row r="20" spans="1:7" ht="15.75">
      <c r="A20" s="32"/>
      <c r="B20" s="138">
        <v>60014</v>
      </c>
      <c r="C20" s="132" t="s">
        <v>22</v>
      </c>
      <c r="D20" s="56">
        <f>D22+D26</f>
        <v>28529371</v>
      </c>
      <c r="E20" s="56">
        <v>5546122.44</v>
      </c>
      <c r="F20" s="60">
        <f t="shared" si="0"/>
        <v>0.19440044577218335</v>
      </c>
      <c r="G20" s="28"/>
    </row>
    <row r="21" spans="1:7" ht="15.75">
      <c r="A21" s="32"/>
      <c r="B21" s="133"/>
      <c r="C21" s="79" t="s">
        <v>14</v>
      </c>
      <c r="D21" s="62"/>
      <c r="E21" s="63"/>
      <c r="F21" s="64"/>
      <c r="G21" s="28"/>
    </row>
    <row r="22" spans="1:7" ht="15.75">
      <c r="A22" s="32"/>
      <c r="B22" s="133"/>
      <c r="C22" s="80" t="s">
        <v>21</v>
      </c>
      <c r="D22" s="22">
        <v>10341064</v>
      </c>
      <c r="E22" s="22">
        <v>4002787.27</v>
      </c>
      <c r="F22" s="9">
        <f t="shared" si="0"/>
        <v>0.38707692651355796</v>
      </c>
      <c r="G22" s="28"/>
    </row>
    <row r="23" spans="1:8" ht="15.75">
      <c r="A23" s="32"/>
      <c r="B23" s="133"/>
      <c r="C23" s="80" t="s">
        <v>156</v>
      </c>
      <c r="D23" s="22">
        <v>917196</v>
      </c>
      <c r="E23" s="11">
        <v>433347.45</v>
      </c>
      <c r="F23" s="9">
        <f t="shared" si="0"/>
        <v>0.4724698428689179</v>
      </c>
      <c r="G23" s="36"/>
      <c r="H23" s="1"/>
    </row>
    <row r="24" spans="1:7" ht="15.75">
      <c r="A24" s="32"/>
      <c r="B24" s="133"/>
      <c r="C24" s="80" t="s">
        <v>147</v>
      </c>
      <c r="D24" s="22">
        <v>3395945</v>
      </c>
      <c r="E24" s="11">
        <v>1502356.47</v>
      </c>
      <c r="F24" s="9">
        <f t="shared" si="0"/>
        <v>0.4423971736880309</v>
      </c>
      <c r="G24" s="28"/>
    </row>
    <row r="25" spans="1:7" ht="31.5">
      <c r="A25" s="32"/>
      <c r="B25" s="133"/>
      <c r="C25" s="80" t="s">
        <v>149</v>
      </c>
      <c r="D25" s="22">
        <f>D22-D23-D24</f>
        <v>6027923</v>
      </c>
      <c r="E25" s="22">
        <v>2067083.35</v>
      </c>
      <c r="F25" s="9">
        <f t="shared" si="0"/>
        <v>0.34291800840853476</v>
      </c>
      <c r="G25" s="28"/>
    </row>
    <row r="26" spans="1:7" ht="15.75">
      <c r="A26" s="32"/>
      <c r="B26" s="133"/>
      <c r="C26" s="80" t="s">
        <v>23</v>
      </c>
      <c r="D26" s="26">
        <f>D28+D29</f>
        <v>18188307</v>
      </c>
      <c r="E26" s="26">
        <v>1543335.17</v>
      </c>
      <c r="F26" s="9">
        <f>E26/D26</f>
        <v>0.08485315153301513</v>
      </c>
      <c r="G26" s="28"/>
    </row>
    <row r="27" spans="1:7" ht="15.75">
      <c r="A27" s="32"/>
      <c r="B27" s="133"/>
      <c r="C27" s="139" t="s">
        <v>24</v>
      </c>
      <c r="D27" s="111"/>
      <c r="E27" s="68"/>
      <c r="F27" s="16"/>
      <c r="G27" s="28"/>
    </row>
    <row r="28" spans="1:7" ht="15.75">
      <c r="A28" s="32"/>
      <c r="B28" s="133"/>
      <c r="C28" s="79" t="s">
        <v>25</v>
      </c>
      <c r="D28" s="69">
        <f>1212884+35000</f>
        <v>1247884</v>
      </c>
      <c r="E28" s="7">
        <v>43105.35</v>
      </c>
      <c r="F28" s="14">
        <f t="shared" si="0"/>
        <v>0.03454275397392706</v>
      </c>
      <c r="G28" s="28"/>
    </row>
    <row r="29" spans="1:7" ht="15.75">
      <c r="A29" s="32"/>
      <c r="B29" s="140"/>
      <c r="C29" s="134" t="s">
        <v>26</v>
      </c>
      <c r="D29" s="23">
        <f>1905527+15034896</f>
        <v>16940423</v>
      </c>
      <c r="E29" s="12">
        <v>1500229.82</v>
      </c>
      <c r="F29" s="16">
        <f t="shared" si="0"/>
        <v>0.08855917116119237</v>
      </c>
      <c r="G29" s="28"/>
    </row>
    <row r="30" spans="1:7" ht="15.75">
      <c r="A30" s="32"/>
      <c r="B30" s="194" t="s">
        <v>185</v>
      </c>
      <c r="C30" s="135" t="s">
        <v>186</v>
      </c>
      <c r="D30" s="65">
        <f>D32</f>
        <v>46640</v>
      </c>
      <c r="E30" s="65">
        <v>46640</v>
      </c>
      <c r="F30" s="57">
        <f>E30/D30</f>
        <v>1</v>
      </c>
      <c r="G30" s="28"/>
    </row>
    <row r="31" spans="1:7" ht="15.75">
      <c r="A31" s="32"/>
      <c r="B31" s="192"/>
      <c r="C31" s="79" t="s">
        <v>14</v>
      </c>
      <c r="D31" s="62"/>
      <c r="E31" s="63"/>
      <c r="F31" s="64"/>
      <c r="G31" s="28"/>
    </row>
    <row r="32" spans="1:7" ht="15.75">
      <c r="A32" s="32"/>
      <c r="B32" s="192"/>
      <c r="C32" s="119" t="s">
        <v>155</v>
      </c>
      <c r="D32" s="26">
        <v>46640</v>
      </c>
      <c r="E32" s="18">
        <v>46640</v>
      </c>
      <c r="F32" s="19">
        <f>E32/D32</f>
        <v>1</v>
      </c>
      <c r="G32" s="28"/>
    </row>
    <row r="33" spans="1:7" ht="15.75">
      <c r="A33" s="195">
        <v>630</v>
      </c>
      <c r="B33" s="137"/>
      <c r="C33" s="132" t="s">
        <v>27</v>
      </c>
      <c r="D33" s="27">
        <f>D34+D39</f>
        <v>54325</v>
      </c>
      <c r="E33" s="27">
        <f>E34+E39</f>
        <v>32687</v>
      </c>
      <c r="F33" s="55">
        <f t="shared" si="0"/>
        <v>0.6016935112747354</v>
      </c>
      <c r="G33" s="28"/>
    </row>
    <row r="34" spans="1:7" ht="15.75">
      <c r="A34" s="196"/>
      <c r="B34" s="191">
        <v>63003</v>
      </c>
      <c r="C34" s="132" t="s">
        <v>28</v>
      </c>
      <c r="D34" s="56">
        <f>D36</f>
        <v>37000</v>
      </c>
      <c r="E34" s="56">
        <v>16187</v>
      </c>
      <c r="F34" s="57">
        <f t="shared" si="0"/>
        <v>0.43748648648648647</v>
      </c>
      <c r="G34" s="28"/>
    </row>
    <row r="35" spans="1:7" ht="15.75">
      <c r="A35" s="196"/>
      <c r="B35" s="192"/>
      <c r="C35" s="79" t="s">
        <v>14</v>
      </c>
      <c r="D35" s="62"/>
      <c r="E35" s="63"/>
      <c r="F35" s="14"/>
      <c r="G35" s="28"/>
    </row>
    <row r="36" spans="1:7" ht="15.75">
      <c r="A36" s="196"/>
      <c r="B36" s="192"/>
      <c r="C36" s="80" t="s">
        <v>21</v>
      </c>
      <c r="D36" s="22">
        <v>37000</v>
      </c>
      <c r="E36" s="11">
        <v>16187</v>
      </c>
      <c r="F36" s="9">
        <f t="shared" si="0"/>
        <v>0.43748648648648647</v>
      </c>
      <c r="G36" s="28"/>
    </row>
    <row r="37" spans="1:7" ht="15.75">
      <c r="A37" s="196"/>
      <c r="B37" s="192"/>
      <c r="C37" s="80" t="s">
        <v>107</v>
      </c>
      <c r="D37" s="22">
        <v>20000</v>
      </c>
      <c r="E37" s="11">
        <v>14950</v>
      </c>
      <c r="F37" s="9">
        <f t="shared" si="0"/>
        <v>0.7475</v>
      </c>
      <c r="G37" s="28"/>
    </row>
    <row r="38" spans="1:7" ht="31.5">
      <c r="A38" s="196"/>
      <c r="B38" s="192"/>
      <c r="C38" s="80" t="s">
        <v>149</v>
      </c>
      <c r="D38" s="22">
        <f>D36-D37</f>
        <v>17000</v>
      </c>
      <c r="E38" s="22">
        <v>1237</v>
      </c>
      <c r="F38" s="9">
        <f t="shared" si="0"/>
        <v>0.07276470588235294</v>
      </c>
      <c r="G38" s="28"/>
    </row>
    <row r="39" spans="1:7" ht="15.75">
      <c r="A39" s="196"/>
      <c r="B39" s="191">
        <v>63095</v>
      </c>
      <c r="C39" s="132" t="s">
        <v>29</v>
      </c>
      <c r="D39" s="56">
        <f>D41</f>
        <v>17325</v>
      </c>
      <c r="E39" s="56">
        <f>E41</f>
        <v>16500</v>
      </c>
      <c r="F39" s="57">
        <f t="shared" si="0"/>
        <v>0.9523809523809523</v>
      </c>
      <c r="G39" s="28"/>
    </row>
    <row r="40" spans="1:7" ht="15.75">
      <c r="A40" s="196"/>
      <c r="B40" s="192"/>
      <c r="C40" s="79" t="s">
        <v>14</v>
      </c>
      <c r="D40" s="62"/>
      <c r="E40" s="63"/>
      <c r="F40" s="14"/>
      <c r="G40" s="28"/>
    </row>
    <row r="41" spans="1:7" ht="31.5">
      <c r="A41" s="218"/>
      <c r="B41" s="193"/>
      <c r="C41" s="134" t="s">
        <v>158</v>
      </c>
      <c r="D41" s="23">
        <v>17325</v>
      </c>
      <c r="E41" s="12">
        <v>16500</v>
      </c>
      <c r="F41" s="16">
        <f t="shared" si="0"/>
        <v>0.9523809523809523</v>
      </c>
      <c r="G41" s="28"/>
    </row>
    <row r="42" spans="1:7" ht="15.75">
      <c r="A42" s="195">
        <v>700</v>
      </c>
      <c r="B42" s="141"/>
      <c r="C42" s="135" t="s">
        <v>30</v>
      </c>
      <c r="D42" s="70">
        <f>D43</f>
        <v>1275232</v>
      </c>
      <c r="E42" s="70">
        <f>E43</f>
        <v>854872.26</v>
      </c>
      <c r="F42" s="66">
        <f t="shared" si="0"/>
        <v>0.6703660667235453</v>
      </c>
      <c r="G42" s="28"/>
    </row>
    <row r="43" spans="1:7" ht="15.75">
      <c r="A43" s="196"/>
      <c r="B43" s="191">
        <v>70005</v>
      </c>
      <c r="C43" s="132" t="s">
        <v>31</v>
      </c>
      <c r="D43" s="56">
        <f>D45+D48</f>
        <v>1275232</v>
      </c>
      <c r="E43" s="56">
        <f>E45+E48</f>
        <v>854872.26</v>
      </c>
      <c r="F43" s="57">
        <f t="shared" si="0"/>
        <v>0.6703660667235453</v>
      </c>
      <c r="G43" s="28"/>
    </row>
    <row r="44" spans="1:7" ht="15.75">
      <c r="A44" s="196"/>
      <c r="B44" s="192"/>
      <c r="C44" s="79" t="s">
        <v>14</v>
      </c>
      <c r="D44" s="62"/>
      <c r="E44" s="63"/>
      <c r="F44" s="14"/>
      <c r="G44" s="28"/>
    </row>
    <row r="45" spans="1:7" ht="15.75">
      <c r="A45" s="196"/>
      <c r="B45" s="192"/>
      <c r="C45" s="80" t="s">
        <v>138</v>
      </c>
      <c r="D45" s="22">
        <v>819232</v>
      </c>
      <c r="E45" s="22">
        <v>398872.26</v>
      </c>
      <c r="F45" s="9">
        <f t="shared" si="0"/>
        <v>0.4868855952892465</v>
      </c>
      <c r="G45" s="28"/>
    </row>
    <row r="46" spans="1:7" ht="15.75">
      <c r="A46" s="196"/>
      <c r="B46" s="192"/>
      <c r="C46" s="80" t="s">
        <v>156</v>
      </c>
      <c r="D46" s="26">
        <v>3469</v>
      </c>
      <c r="E46" s="18">
        <v>3029.6</v>
      </c>
      <c r="F46" s="19">
        <f>E46/D46</f>
        <v>0.8733352551167484</v>
      </c>
      <c r="G46" s="28"/>
    </row>
    <row r="47" spans="1:7" ht="31.5">
      <c r="A47" s="196"/>
      <c r="B47" s="192"/>
      <c r="C47" s="80" t="s">
        <v>149</v>
      </c>
      <c r="D47" s="26">
        <f>D45-D46</f>
        <v>815763</v>
      </c>
      <c r="E47" s="18">
        <f>E45-E46</f>
        <v>395842.66000000003</v>
      </c>
      <c r="F47" s="19">
        <f>E47/D47</f>
        <v>0.48524223334473376</v>
      </c>
      <c r="G47" s="28"/>
    </row>
    <row r="48" spans="1:7" ht="15.75">
      <c r="A48" s="196"/>
      <c r="B48" s="192"/>
      <c r="C48" s="134" t="s">
        <v>23</v>
      </c>
      <c r="D48" s="23">
        <v>456000</v>
      </c>
      <c r="E48" s="12">
        <v>456000</v>
      </c>
      <c r="F48" s="16">
        <f t="shared" si="0"/>
        <v>1</v>
      </c>
      <c r="G48" s="28"/>
    </row>
    <row r="49" spans="1:7" ht="15.75">
      <c r="A49" s="195">
        <v>710</v>
      </c>
      <c r="B49" s="137"/>
      <c r="C49" s="132" t="s">
        <v>32</v>
      </c>
      <c r="D49" s="27">
        <f>D50+D53+D56+D62</f>
        <v>2359197</v>
      </c>
      <c r="E49" s="27">
        <f>E50+E53+E56+E62</f>
        <v>896343.62</v>
      </c>
      <c r="F49" s="55">
        <f t="shared" si="0"/>
        <v>0.3799358934417092</v>
      </c>
      <c r="G49" s="28"/>
    </row>
    <row r="50" spans="1:7" ht="15.75">
      <c r="A50" s="196"/>
      <c r="B50" s="191">
        <v>71012</v>
      </c>
      <c r="C50" s="132" t="s">
        <v>3</v>
      </c>
      <c r="D50" s="56">
        <f>D52</f>
        <v>486460</v>
      </c>
      <c r="E50" s="56">
        <f>E52</f>
        <v>218760.93</v>
      </c>
      <c r="F50" s="57">
        <f t="shared" si="0"/>
        <v>0.4496997286518933</v>
      </c>
      <c r="G50" s="28"/>
    </row>
    <row r="51" spans="1:7" ht="15.75">
      <c r="A51" s="196"/>
      <c r="B51" s="192"/>
      <c r="C51" s="79" t="s">
        <v>14</v>
      </c>
      <c r="D51" s="62"/>
      <c r="E51" s="63"/>
      <c r="F51" s="14"/>
      <c r="G51" s="28"/>
    </row>
    <row r="52" spans="1:7" ht="15.75">
      <c r="A52" s="37"/>
      <c r="B52" s="192"/>
      <c r="C52" s="80" t="s">
        <v>157</v>
      </c>
      <c r="D52" s="22">
        <v>486460</v>
      </c>
      <c r="E52" s="22">
        <v>218760.93</v>
      </c>
      <c r="F52" s="9">
        <f t="shared" si="0"/>
        <v>0.4496997286518933</v>
      </c>
      <c r="G52" s="28"/>
    </row>
    <row r="53" spans="1:7" ht="15.75">
      <c r="A53" s="37"/>
      <c r="B53" s="138">
        <v>71013</v>
      </c>
      <c r="C53" s="132" t="s">
        <v>4</v>
      </c>
      <c r="D53" s="56">
        <f>D55</f>
        <v>140090</v>
      </c>
      <c r="E53" s="56">
        <f>E55</f>
        <v>69135.76</v>
      </c>
      <c r="F53" s="57">
        <f t="shared" si="0"/>
        <v>0.49350960097080443</v>
      </c>
      <c r="G53" s="28"/>
    </row>
    <row r="54" spans="1:7" ht="15.75">
      <c r="A54" s="37"/>
      <c r="B54" s="133"/>
      <c r="C54" s="79" t="s">
        <v>14</v>
      </c>
      <c r="D54" s="62"/>
      <c r="E54" s="63"/>
      <c r="F54" s="14"/>
      <c r="G54" s="28"/>
    </row>
    <row r="55" spans="1:7" ht="15.75">
      <c r="A55" s="37"/>
      <c r="B55" s="133"/>
      <c r="C55" s="80" t="s">
        <v>157</v>
      </c>
      <c r="D55" s="22">
        <v>140090</v>
      </c>
      <c r="E55" s="11">
        <v>69135.76</v>
      </c>
      <c r="F55" s="9">
        <f t="shared" si="0"/>
        <v>0.49350960097080443</v>
      </c>
      <c r="G55" s="28"/>
    </row>
    <row r="56" spans="1:7" ht="15.75">
      <c r="A56" s="37"/>
      <c r="B56" s="191">
        <v>71014</v>
      </c>
      <c r="C56" s="132" t="s">
        <v>5</v>
      </c>
      <c r="D56" s="56">
        <f>D58</f>
        <v>1213747</v>
      </c>
      <c r="E56" s="56">
        <f>E58</f>
        <v>385056.51</v>
      </c>
      <c r="F56" s="57">
        <f t="shared" si="0"/>
        <v>0.317246106478533</v>
      </c>
      <c r="G56" s="28"/>
    </row>
    <row r="57" spans="1:7" ht="15.75">
      <c r="A57" s="37"/>
      <c r="B57" s="192"/>
      <c r="C57" s="79" t="s">
        <v>14</v>
      </c>
      <c r="D57" s="62"/>
      <c r="E57" s="63"/>
      <c r="F57" s="14"/>
      <c r="G57" s="28"/>
    </row>
    <row r="58" spans="1:7" ht="15.75">
      <c r="A58" s="37"/>
      <c r="B58" s="192"/>
      <c r="C58" s="80" t="s">
        <v>15</v>
      </c>
      <c r="D58" s="22">
        <v>1213747</v>
      </c>
      <c r="E58" s="11">
        <v>385056.51</v>
      </c>
      <c r="F58" s="9">
        <f t="shared" si="0"/>
        <v>0.317246106478533</v>
      </c>
      <c r="G58" s="28"/>
    </row>
    <row r="59" spans="1:7" ht="15.75">
      <c r="A59" s="37"/>
      <c r="B59" s="133"/>
      <c r="C59" s="80" t="s">
        <v>156</v>
      </c>
      <c r="D59" s="22">
        <v>12500</v>
      </c>
      <c r="E59" s="11">
        <v>0</v>
      </c>
      <c r="F59" s="9">
        <f t="shared" si="0"/>
        <v>0</v>
      </c>
      <c r="G59" s="28"/>
    </row>
    <row r="60" spans="1:7" ht="15.75">
      <c r="A60" s="37"/>
      <c r="B60" s="133"/>
      <c r="C60" s="80" t="s">
        <v>107</v>
      </c>
      <c r="D60" s="26">
        <v>236784</v>
      </c>
      <c r="E60" s="18">
        <v>88300</v>
      </c>
      <c r="F60" s="9">
        <f t="shared" si="0"/>
        <v>0.37291371038583687</v>
      </c>
      <c r="G60" s="28"/>
    </row>
    <row r="61" spans="1:7" ht="31.5">
      <c r="A61" s="37"/>
      <c r="B61" s="133"/>
      <c r="C61" s="134" t="s">
        <v>149</v>
      </c>
      <c r="D61" s="23">
        <f>D58-D59-D60</f>
        <v>964463</v>
      </c>
      <c r="E61" s="12">
        <v>296756.51</v>
      </c>
      <c r="F61" s="9">
        <f t="shared" si="0"/>
        <v>0.3076909223059879</v>
      </c>
      <c r="G61" s="28"/>
    </row>
    <row r="62" spans="1:7" ht="15.75">
      <c r="A62" s="37"/>
      <c r="B62" s="191">
        <v>71015</v>
      </c>
      <c r="C62" s="132" t="s">
        <v>6</v>
      </c>
      <c r="D62" s="56">
        <f>D64</f>
        <v>518900</v>
      </c>
      <c r="E62" s="56">
        <f>E64</f>
        <v>223390.42</v>
      </c>
      <c r="F62" s="57">
        <f aca="true" t="shared" si="1" ref="F62:F130">E62/D62</f>
        <v>0.43050765079976877</v>
      </c>
      <c r="G62" s="28"/>
    </row>
    <row r="63" spans="1:7" ht="15.75">
      <c r="A63" s="37"/>
      <c r="B63" s="192"/>
      <c r="C63" s="79" t="s">
        <v>14</v>
      </c>
      <c r="D63" s="62"/>
      <c r="E63" s="63"/>
      <c r="F63" s="64"/>
      <c r="G63" s="28"/>
    </row>
    <row r="64" spans="1:7" ht="15.75">
      <c r="A64" s="37"/>
      <c r="B64" s="192"/>
      <c r="C64" s="80" t="s">
        <v>21</v>
      </c>
      <c r="D64" s="22">
        <v>518900</v>
      </c>
      <c r="E64" s="11">
        <v>223390.42</v>
      </c>
      <c r="F64" s="9">
        <f t="shared" si="1"/>
        <v>0.43050765079976877</v>
      </c>
      <c r="G64" s="28"/>
    </row>
    <row r="65" spans="1:7" ht="15.75">
      <c r="A65" s="37"/>
      <c r="B65" s="192"/>
      <c r="C65" s="80" t="s">
        <v>156</v>
      </c>
      <c r="D65" s="22">
        <v>446000</v>
      </c>
      <c r="E65" s="11">
        <v>191323.54</v>
      </c>
      <c r="F65" s="9">
        <f t="shared" si="1"/>
        <v>0.42897654708520183</v>
      </c>
      <c r="G65" s="28"/>
    </row>
    <row r="66" spans="1:7" ht="31.5">
      <c r="A66" s="37"/>
      <c r="B66" s="142"/>
      <c r="C66" s="80" t="s">
        <v>149</v>
      </c>
      <c r="D66" s="22">
        <f>D64-D65</f>
        <v>72900</v>
      </c>
      <c r="E66" s="22">
        <v>32066.88</v>
      </c>
      <c r="F66" s="9">
        <f t="shared" si="1"/>
        <v>0.4398748971193416</v>
      </c>
      <c r="G66" s="28"/>
    </row>
    <row r="67" spans="1:7" ht="15.75">
      <c r="A67" s="53">
        <v>750</v>
      </c>
      <c r="B67" s="137"/>
      <c r="C67" s="143" t="s">
        <v>33</v>
      </c>
      <c r="D67" s="27">
        <f>D68+D73+D76+D82+D87+D94</f>
        <v>13113018</v>
      </c>
      <c r="E67" s="27">
        <f>E68+E73+E76+E82+E87+E94</f>
        <v>6503282.95</v>
      </c>
      <c r="F67" s="55">
        <f t="shared" si="1"/>
        <v>0.4959409763640987</v>
      </c>
      <c r="G67" s="28"/>
    </row>
    <row r="68" spans="1:7" ht="15.75">
      <c r="A68" s="32"/>
      <c r="B68" s="192">
        <v>75011</v>
      </c>
      <c r="C68" s="135" t="s">
        <v>7</v>
      </c>
      <c r="D68" s="72">
        <f>D70</f>
        <v>1638177</v>
      </c>
      <c r="E68" s="72">
        <f>E70</f>
        <v>767609.85</v>
      </c>
      <c r="F68" s="60">
        <f t="shared" si="1"/>
        <v>0.4685756484189437</v>
      </c>
      <c r="G68" s="28"/>
    </row>
    <row r="69" spans="1:7" ht="15.75">
      <c r="A69" s="32"/>
      <c r="B69" s="192"/>
      <c r="C69" s="79" t="s">
        <v>14</v>
      </c>
      <c r="D69" s="62"/>
      <c r="E69" s="63"/>
      <c r="F69" s="64"/>
      <c r="G69" s="28"/>
    </row>
    <row r="70" spans="1:7" ht="15.75">
      <c r="A70" s="32"/>
      <c r="B70" s="192"/>
      <c r="C70" s="80" t="s">
        <v>21</v>
      </c>
      <c r="D70" s="22">
        <f>D71+D72</f>
        <v>1638177</v>
      </c>
      <c r="E70" s="22">
        <v>767609.85</v>
      </c>
      <c r="F70" s="9">
        <f t="shared" si="1"/>
        <v>0.4685756484189437</v>
      </c>
      <c r="G70" s="28"/>
    </row>
    <row r="71" spans="1:7" ht="15.75">
      <c r="A71" s="32"/>
      <c r="B71" s="133"/>
      <c r="C71" s="80" t="s">
        <v>156</v>
      </c>
      <c r="D71" s="22">
        <v>1638000</v>
      </c>
      <c r="E71" s="22">
        <v>767609.85</v>
      </c>
      <c r="F71" s="9">
        <f>E71/D71</f>
        <v>0.46862628205128204</v>
      </c>
      <c r="G71" s="28"/>
    </row>
    <row r="72" spans="1:7" ht="31.5">
      <c r="A72" s="32"/>
      <c r="B72" s="133"/>
      <c r="C72" s="80" t="s">
        <v>149</v>
      </c>
      <c r="D72" s="59">
        <v>177</v>
      </c>
      <c r="E72" s="59">
        <v>0</v>
      </c>
      <c r="F72" s="5">
        <v>0</v>
      </c>
      <c r="G72" s="28"/>
    </row>
    <row r="73" spans="1:7" ht="15.75">
      <c r="A73" s="32"/>
      <c r="B73" s="191">
        <v>75019</v>
      </c>
      <c r="C73" s="132" t="s">
        <v>34</v>
      </c>
      <c r="D73" s="56">
        <f>D75</f>
        <v>484200</v>
      </c>
      <c r="E73" s="56">
        <f>E75</f>
        <v>223779.02</v>
      </c>
      <c r="F73" s="57">
        <f t="shared" si="1"/>
        <v>0.46216237092110696</v>
      </c>
      <c r="G73" s="28"/>
    </row>
    <row r="74" spans="1:7" ht="15.75">
      <c r="A74" s="32"/>
      <c r="B74" s="192"/>
      <c r="C74" s="79" t="s">
        <v>14</v>
      </c>
      <c r="D74" s="62"/>
      <c r="E74" s="63"/>
      <c r="F74" s="14"/>
      <c r="G74" s="28"/>
    </row>
    <row r="75" spans="1:7" ht="31.5">
      <c r="A75" s="32"/>
      <c r="B75" s="192"/>
      <c r="C75" s="80" t="s">
        <v>158</v>
      </c>
      <c r="D75" s="22">
        <v>484200</v>
      </c>
      <c r="E75" s="11">
        <v>223779.02</v>
      </c>
      <c r="F75" s="9">
        <f t="shared" si="1"/>
        <v>0.46216237092110696</v>
      </c>
      <c r="G75" s="28"/>
    </row>
    <row r="76" spans="1:7" ht="15.75">
      <c r="A76" s="32"/>
      <c r="B76" s="191">
        <v>75020</v>
      </c>
      <c r="C76" s="132" t="s">
        <v>35</v>
      </c>
      <c r="D76" s="56">
        <f>D78+D81</f>
        <v>10584533</v>
      </c>
      <c r="E76" s="56">
        <f>E78+E81</f>
        <v>5446835.710000001</v>
      </c>
      <c r="F76" s="57">
        <f t="shared" si="1"/>
        <v>0.514603309376049</v>
      </c>
      <c r="G76" s="28"/>
    </row>
    <row r="77" spans="1:7" ht="15.75">
      <c r="A77" s="32"/>
      <c r="B77" s="192"/>
      <c r="C77" s="79" t="s">
        <v>14</v>
      </c>
      <c r="D77" s="62"/>
      <c r="E77" s="63"/>
      <c r="F77" s="14"/>
      <c r="G77" s="28"/>
    </row>
    <row r="78" spans="1:7" ht="15.75">
      <c r="A78" s="32"/>
      <c r="B78" s="192"/>
      <c r="C78" s="80" t="s">
        <v>21</v>
      </c>
      <c r="D78" s="22">
        <v>9036829</v>
      </c>
      <c r="E78" s="11">
        <v>4577873.44</v>
      </c>
      <c r="F78" s="9">
        <f t="shared" si="1"/>
        <v>0.5065796243350406</v>
      </c>
      <c r="G78" s="28"/>
    </row>
    <row r="79" spans="1:8" ht="15.75">
      <c r="A79" s="32"/>
      <c r="B79" s="192"/>
      <c r="C79" s="80" t="s">
        <v>156</v>
      </c>
      <c r="D79" s="22">
        <v>5124642</v>
      </c>
      <c r="E79" s="11">
        <v>2564408.7</v>
      </c>
      <c r="F79" s="9">
        <f t="shared" si="1"/>
        <v>0.5004073845548626</v>
      </c>
      <c r="G79" s="36"/>
      <c r="H79" s="1"/>
    </row>
    <row r="80" spans="1:7" ht="31.5">
      <c r="A80" s="32"/>
      <c r="B80" s="192"/>
      <c r="C80" s="80" t="s">
        <v>149</v>
      </c>
      <c r="D80" s="22">
        <f>D78-D79</f>
        <v>3912187</v>
      </c>
      <c r="E80" s="22">
        <f>E78-E79</f>
        <v>2013464.7400000002</v>
      </c>
      <c r="F80" s="9">
        <f t="shared" si="1"/>
        <v>0.5146647488987618</v>
      </c>
      <c r="G80" s="28"/>
    </row>
    <row r="81" spans="1:7" ht="15.75">
      <c r="A81" s="32"/>
      <c r="B81" s="192"/>
      <c r="C81" s="80" t="s">
        <v>23</v>
      </c>
      <c r="D81" s="22">
        <v>1547704</v>
      </c>
      <c r="E81" s="11">
        <v>868962.27</v>
      </c>
      <c r="F81" s="9">
        <f t="shared" si="1"/>
        <v>0.5614524935000491</v>
      </c>
      <c r="G81" s="28"/>
    </row>
    <row r="82" spans="1:7" ht="15.75">
      <c r="A82" s="32"/>
      <c r="B82" s="138">
        <v>75045</v>
      </c>
      <c r="C82" s="132" t="s">
        <v>173</v>
      </c>
      <c r="D82" s="56">
        <f>D84</f>
        <v>37000</v>
      </c>
      <c r="E82" s="56">
        <f>E84</f>
        <v>29409.56</v>
      </c>
      <c r="F82" s="57">
        <f t="shared" si="1"/>
        <v>0.794852972972973</v>
      </c>
      <c r="G82" s="28"/>
    </row>
    <row r="83" spans="1:7" ht="15.75">
      <c r="A83" s="32"/>
      <c r="B83" s="133"/>
      <c r="C83" s="79" t="s">
        <v>14</v>
      </c>
      <c r="D83" s="62"/>
      <c r="E83" s="63"/>
      <c r="F83" s="14"/>
      <c r="G83" s="28"/>
    </row>
    <row r="84" spans="1:7" ht="15.75">
      <c r="A84" s="32"/>
      <c r="B84" s="133"/>
      <c r="C84" s="80" t="s">
        <v>21</v>
      </c>
      <c r="D84" s="22">
        <v>37000</v>
      </c>
      <c r="E84" s="11">
        <v>29409.56</v>
      </c>
      <c r="F84" s="9">
        <f t="shared" si="1"/>
        <v>0.794852972972973</v>
      </c>
      <c r="G84" s="28"/>
    </row>
    <row r="85" spans="1:7" ht="15.75">
      <c r="A85" s="32"/>
      <c r="B85" s="133"/>
      <c r="C85" s="80" t="s">
        <v>156</v>
      </c>
      <c r="D85" s="22">
        <v>14206</v>
      </c>
      <c r="E85" s="11">
        <v>11722.83</v>
      </c>
      <c r="F85" s="9">
        <f t="shared" si="1"/>
        <v>0.825202731240321</v>
      </c>
      <c r="G85" s="28"/>
    </row>
    <row r="86" spans="1:7" ht="31.5">
      <c r="A86" s="32"/>
      <c r="B86" s="133"/>
      <c r="C86" s="80" t="s">
        <v>149</v>
      </c>
      <c r="D86" s="26">
        <f>D84-D85</f>
        <v>22794</v>
      </c>
      <c r="E86" s="26">
        <f>E84-E85</f>
        <v>17686.730000000003</v>
      </c>
      <c r="F86" s="19">
        <f t="shared" si="1"/>
        <v>0.7759379661314383</v>
      </c>
      <c r="G86" s="28"/>
    </row>
    <row r="87" spans="1:7" ht="15.75">
      <c r="A87" s="32"/>
      <c r="B87" s="138">
        <v>75075</v>
      </c>
      <c r="C87" s="159" t="s">
        <v>129</v>
      </c>
      <c r="D87" s="94">
        <f>D89</f>
        <v>366108</v>
      </c>
      <c r="E87" s="94">
        <f>E89</f>
        <v>33148.81</v>
      </c>
      <c r="F87" s="57">
        <f t="shared" si="1"/>
        <v>0.09054380128268161</v>
      </c>
      <c r="G87" s="28"/>
    </row>
    <row r="88" spans="1:7" ht="15.75">
      <c r="A88" s="32"/>
      <c r="B88" s="133"/>
      <c r="C88" s="144" t="s">
        <v>14</v>
      </c>
      <c r="D88" s="74"/>
      <c r="E88" s="75"/>
      <c r="F88" s="14"/>
      <c r="G88" s="28"/>
    </row>
    <row r="89" spans="1:7" ht="15.75">
      <c r="A89" s="32"/>
      <c r="B89" s="133"/>
      <c r="C89" s="80" t="s">
        <v>21</v>
      </c>
      <c r="D89" s="76">
        <v>366108</v>
      </c>
      <c r="E89" s="21">
        <v>33148.81</v>
      </c>
      <c r="F89" s="9">
        <f t="shared" si="1"/>
        <v>0.09054380128268161</v>
      </c>
      <c r="G89" s="28"/>
    </row>
    <row r="90" spans="1:7" ht="15.75">
      <c r="A90" s="32"/>
      <c r="B90" s="133"/>
      <c r="C90" s="80" t="s">
        <v>156</v>
      </c>
      <c r="D90" s="117">
        <v>2000</v>
      </c>
      <c r="E90" s="118">
        <v>0</v>
      </c>
      <c r="F90" s="19">
        <f t="shared" si="1"/>
        <v>0</v>
      </c>
      <c r="G90" s="28"/>
    </row>
    <row r="91" spans="1:7" ht="31.5">
      <c r="A91" s="32"/>
      <c r="B91" s="133"/>
      <c r="C91" s="80" t="s">
        <v>149</v>
      </c>
      <c r="D91" s="76">
        <f>D89-D90-D92</f>
        <v>110000</v>
      </c>
      <c r="E91" s="76">
        <f>E89-E90-E92</f>
        <v>23091.309999999998</v>
      </c>
      <c r="F91" s="9">
        <f t="shared" si="1"/>
        <v>0.20992099999999997</v>
      </c>
      <c r="G91" s="28"/>
    </row>
    <row r="92" spans="1:7" ht="31.5">
      <c r="A92" s="32"/>
      <c r="B92" s="133"/>
      <c r="C92" s="80" t="s">
        <v>170</v>
      </c>
      <c r="D92" s="76">
        <f>D93</f>
        <v>254108</v>
      </c>
      <c r="E92" s="189">
        <v>10057.5</v>
      </c>
      <c r="F92" s="9">
        <f t="shared" si="1"/>
        <v>0.039579627559935146</v>
      </c>
      <c r="G92" s="28"/>
    </row>
    <row r="93" spans="1:7" ht="15.75">
      <c r="A93" s="32"/>
      <c r="B93" s="133"/>
      <c r="C93" s="134" t="s">
        <v>171</v>
      </c>
      <c r="D93" s="88">
        <v>254108</v>
      </c>
      <c r="E93" s="190">
        <v>10057.5</v>
      </c>
      <c r="F93" s="9">
        <f t="shared" si="1"/>
        <v>0.039579627559935146</v>
      </c>
      <c r="G93" s="28"/>
    </row>
    <row r="94" spans="1:7" ht="15.75">
      <c r="A94" s="32"/>
      <c r="B94" s="191">
        <v>75095</v>
      </c>
      <c r="C94" s="135" t="s">
        <v>29</v>
      </c>
      <c r="D94" s="72">
        <f>D96</f>
        <v>3000</v>
      </c>
      <c r="E94" s="72">
        <f>E96</f>
        <v>2500</v>
      </c>
      <c r="F94" s="60">
        <f t="shared" si="1"/>
        <v>0.8333333333333334</v>
      </c>
      <c r="G94" s="28"/>
    </row>
    <row r="95" spans="1:7" ht="15.75">
      <c r="A95" s="32"/>
      <c r="B95" s="192"/>
      <c r="C95" s="79" t="s">
        <v>14</v>
      </c>
      <c r="D95" s="62"/>
      <c r="E95" s="63"/>
      <c r="F95" s="14"/>
      <c r="G95" s="28"/>
    </row>
    <row r="96" spans="1:7" ht="15.75">
      <c r="A96" s="32"/>
      <c r="B96" s="192"/>
      <c r="C96" s="80" t="s">
        <v>21</v>
      </c>
      <c r="D96" s="77">
        <f>D97</f>
        <v>3000</v>
      </c>
      <c r="E96" s="77">
        <v>2500</v>
      </c>
      <c r="F96" s="9">
        <f t="shared" si="1"/>
        <v>0.8333333333333334</v>
      </c>
      <c r="G96" s="28"/>
    </row>
    <row r="97" spans="1:7" ht="15.75">
      <c r="A97" s="32"/>
      <c r="B97" s="192"/>
      <c r="C97" s="79" t="s">
        <v>107</v>
      </c>
      <c r="D97" s="77">
        <v>3000</v>
      </c>
      <c r="E97" s="78">
        <v>2500</v>
      </c>
      <c r="F97" s="9">
        <f t="shared" si="1"/>
        <v>0.8333333333333334</v>
      </c>
      <c r="G97" s="28"/>
    </row>
    <row r="98" spans="1:7" ht="31.5">
      <c r="A98" s="2">
        <v>751</v>
      </c>
      <c r="B98" s="146"/>
      <c r="C98" s="143" t="s">
        <v>187</v>
      </c>
      <c r="D98" s="27">
        <f>D99</f>
        <v>220</v>
      </c>
      <c r="E98" s="27">
        <f>E99</f>
        <v>0</v>
      </c>
      <c r="F98" s="66">
        <f>E98/D98</f>
        <v>0</v>
      </c>
      <c r="G98" s="28"/>
    </row>
    <row r="99" spans="1:7" ht="31.5">
      <c r="A99" s="32"/>
      <c r="B99" s="147" t="s">
        <v>188</v>
      </c>
      <c r="C99" s="135" t="s">
        <v>189</v>
      </c>
      <c r="D99" s="72">
        <f>D101</f>
        <v>220</v>
      </c>
      <c r="E99" s="72">
        <f>E101</f>
        <v>0</v>
      </c>
      <c r="F99" s="60">
        <f>E99/D99</f>
        <v>0</v>
      </c>
      <c r="G99" s="28"/>
    </row>
    <row r="100" spans="1:7" ht="15.75">
      <c r="A100" s="32"/>
      <c r="B100" s="148"/>
      <c r="C100" s="79" t="s">
        <v>14</v>
      </c>
      <c r="D100" s="81"/>
      <c r="E100" s="82"/>
      <c r="F100" s="14"/>
      <c r="G100" s="28"/>
    </row>
    <row r="101" spans="1:7" ht="15.75">
      <c r="A101" s="32"/>
      <c r="B101" s="142"/>
      <c r="C101" s="80" t="s">
        <v>21</v>
      </c>
      <c r="D101" s="22">
        <f>D102</f>
        <v>220</v>
      </c>
      <c r="E101" s="22">
        <v>0</v>
      </c>
      <c r="F101" s="9">
        <f>E101/D101</f>
        <v>0</v>
      </c>
      <c r="G101" s="28"/>
    </row>
    <row r="102" spans="1:7" ht="31.5">
      <c r="A102" s="32"/>
      <c r="B102" s="149"/>
      <c r="C102" s="80" t="s">
        <v>149</v>
      </c>
      <c r="D102" s="23">
        <v>220</v>
      </c>
      <c r="E102" s="23">
        <v>0</v>
      </c>
      <c r="F102" s="16"/>
      <c r="G102" s="28"/>
    </row>
    <row r="103" spans="1:7" ht="15.75">
      <c r="A103" s="2">
        <v>754</v>
      </c>
      <c r="B103" s="146"/>
      <c r="C103" s="143" t="s">
        <v>36</v>
      </c>
      <c r="D103" s="27">
        <f>D104+D110+D116+D120+D124+D107</f>
        <v>7458190</v>
      </c>
      <c r="E103" s="27">
        <f>E104+E110+E116+E120+E124+E107</f>
        <v>4169539.02</v>
      </c>
      <c r="F103" s="66">
        <f t="shared" si="1"/>
        <v>0.5590550817289449</v>
      </c>
      <c r="G103" s="28"/>
    </row>
    <row r="104" spans="1:7" ht="15.75">
      <c r="A104" s="32"/>
      <c r="B104" s="147">
        <v>75405</v>
      </c>
      <c r="C104" s="135" t="s">
        <v>114</v>
      </c>
      <c r="D104" s="72">
        <f>D106</f>
        <v>3100</v>
      </c>
      <c r="E104" s="72">
        <f>E106</f>
        <v>3100</v>
      </c>
      <c r="F104" s="60">
        <f t="shared" si="1"/>
        <v>1</v>
      </c>
      <c r="G104" s="28"/>
    </row>
    <row r="105" spans="1:7" ht="15.75">
      <c r="A105" s="32"/>
      <c r="B105" s="148"/>
      <c r="C105" s="79" t="s">
        <v>14</v>
      </c>
      <c r="D105" s="81"/>
      <c r="E105" s="82"/>
      <c r="F105" s="14"/>
      <c r="G105" s="28"/>
    </row>
    <row r="106" spans="1:7" ht="15.75">
      <c r="A106" s="32"/>
      <c r="B106" s="149"/>
      <c r="C106" s="134" t="s">
        <v>163</v>
      </c>
      <c r="D106" s="23">
        <v>3100</v>
      </c>
      <c r="E106" s="23">
        <v>3100</v>
      </c>
      <c r="F106" s="16">
        <f t="shared" si="1"/>
        <v>1</v>
      </c>
      <c r="G106" s="28"/>
    </row>
    <row r="107" spans="1:7" ht="15.75">
      <c r="A107" s="32"/>
      <c r="B107" s="147" t="s">
        <v>160</v>
      </c>
      <c r="C107" s="135" t="s">
        <v>161</v>
      </c>
      <c r="D107" s="72">
        <f>D109</f>
        <v>5000</v>
      </c>
      <c r="E107" s="72">
        <f>E109</f>
        <v>5000</v>
      </c>
      <c r="F107" s="60">
        <f>E107/D107</f>
        <v>1</v>
      </c>
      <c r="G107" s="28"/>
    </row>
    <row r="108" spans="1:7" ht="15.75">
      <c r="A108" s="32"/>
      <c r="B108" s="148"/>
      <c r="C108" s="79" t="s">
        <v>14</v>
      </c>
      <c r="D108" s="81"/>
      <c r="E108" s="82"/>
      <c r="F108" s="14"/>
      <c r="G108" s="28"/>
    </row>
    <row r="109" spans="1:7" ht="31.5">
      <c r="A109" s="32"/>
      <c r="B109" s="149"/>
      <c r="C109" s="134" t="s">
        <v>158</v>
      </c>
      <c r="D109" s="23">
        <v>5000</v>
      </c>
      <c r="E109" s="23">
        <v>5000</v>
      </c>
      <c r="F109" s="16">
        <f>E109/D109</f>
        <v>1</v>
      </c>
      <c r="G109" s="28"/>
    </row>
    <row r="110" spans="1:7" ht="15.75">
      <c r="A110" s="32"/>
      <c r="B110" s="192">
        <v>75411</v>
      </c>
      <c r="C110" s="135" t="s">
        <v>8</v>
      </c>
      <c r="D110" s="72">
        <f>D112</f>
        <v>7429090</v>
      </c>
      <c r="E110" s="72">
        <f>E112</f>
        <v>4151809.02</v>
      </c>
      <c r="F110" s="60">
        <f t="shared" si="1"/>
        <v>0.5588583554648012</v>
      </c>
      <c r="G110" s="28"/>
    </row>
    <row r="111" spans="1:7" ht="15.75">
      <c r="A111" s="32"/>
      <c r="B111" s="192"/>
      <c r="C111" s="79" t="s">
        <v>14</v>
      </c>
      <c r="D111" s="62"/>
      <c r="E111" s="63"/>
      <c r="F111" s="14"/>
      <c r="G111" s="28"/>
    </row>
    <row r="112" spans="1:7" ht="15.75">
      <c r="A112" s="32"/>
      <c r="B112" s="192"/>
      <c r="C112" s="80" t="s">
        <v>21</v>
      </c>
      <c r="D112" s="22">
        <v>7429090</v>
      </c>
      <c r="E112" s="11">
        <v>4151809.02</v>
      </c>
      <c r="F112" s="9">
        <f t="shared" si="1"/>
        <v>0.5588583554648012</v>
      </c>
      <c r="G112" s="28"/>
    </row>
    <row r="113" spans="1:7" ht="15.75">
      <c r="A113" s="37"/>
      <c r="B113" s="199"/>
      <c r="C113" s="80" t="s">
        <v>156</v>
      </c>
      <c r="D113" s="22">
        <v>6322703</v>
      </c>
      <c r="E113" s="11">
        <v>3359994.89</v>
      </c>
      <c r="F113" s="9">
        <f t="shared" si="1"/>
        <v>0.5314174792015377</v>
      </c>
      <c r="G113" s="28"/>
    </row>
    <row r="114" spans="1:7" ht="31.5">
      <c r="A114" s="37"/>
      <c r="B114" s="199"/>
      <c r="C114" s="80" t="s">
        <v>149</v>
      </c>
      <c r="D114" s="22">
        <f>D112-D113-D115</f>
        <v>699594</v>
      </c>
      <c r="E114" s="22">
        <f>E112-E113-E115</f>
        <v>546380.4199999999</v>
      </c>
      <c r="F114" s="9">
        <f t="shared" si="1"/>
        <v>0.7809964350752007</v>
      </c>
      <c r="G114" s="28"/>
    </row>
    <row r="115" spans="1:7" ht="15.75">
      <c r="A115" s="37"/>
      <c r="B115" s="142"/>
      <c r="C115" s="80" t="s">
        <v>162</v>
      </c>
      <c r="D115" s="22">
        <v>406793</v>
      </c>
      <c r="E115" s="22">
        <v>245433.71</v>
      </c>
      <c r="F115" s="9">
        <f t="shared" si="1"/>
        <v>0.6033380859552647</v>
      </c>
      <c r="G115" s="28"/>
    </row>
    <row r="116" spans="1:7" ht="15.75">
      <c r="A116" s="37"/>
      <c r="B116" s="191">
        <v>75414</v>
      </c>
      <c r="C116" s="132" t="s">
        <v>37</v>
      </c>
      <c r="D116" s="56">
        <f>D118</f>
        <v>8000</v>
      </c>
      <c r="E116" s="56">
        <f>E118</f>
        <v>8000</v>
      </c>
      <c r="F116" s="57">
        <f t="shared" si="1"/>
        <v>1</v>
      </c>
      <c r="G116" s="28"/>
    </row>
    <row r="117" spans="1:7" ht="15.75">
      <c r="A117" s="37"/>
      <c r="B117" s="192"/>
      <c r="C117" s="79" t="s">
        <v>14</v>
      </c>
      <c r="D117" s="62"/>
      <c r="E117" s="63"/>
      <c r="F117" s="14"/>
      <c r="G117" s="28"/>
    </row>
    <row r="118" spans="1:7" ht="15.75">
      <c r="A118" s="37"/>
      <c r="B118" s="192"/>
      <c r="C118" s="80" t="s">
        <v>21</v>
      </c>
      <c r="D118" s="22">
        <f>D119</f>
        <v>8000</v>
      </c>
      <c r="E118" s="22">
        <v>8000</v>
      </c>
      <c r="F118" s="9">
        <f t="shared" si="1"/>
        <v>1</v>
      </c>
      <c r="G118" s="28"/>
    </row>
    <row r="119" spans="1:7" ht="15.75">
      <c r="A119" s="37"/>
      <c r="B119" s="193"/>
      <c r="C119" s="134" t="s">
        <v>107</v>
      </c>
      <c r="D119" s="23">
        <v>8000</v>
      </c>
      <c r="E119" s="12">
        <v>8000</v>
      </c>
      <c r="F119" s="16">
        <f t="shared" si="1"/>
        <v>1</v>
      </c>
      <c r="G119" s="28"/>
    </row>
    <row r="120" spans="1:7" ht="15.75">
      <c r="A120" s="37"/>
      <c r="B120" s="133">
        <v>75421</v>
      </c>
      <c r="C120" s="145" t="s">
        <v>130</v>
      </c>
      <c r="D120" s="73">
        <f>D122</f>
        <v>3000</v>
      </c>
      <c r="E120" s="73">
        <f>E122</f>
        <v>0</v>
      </c>
      <c r="F120" s="60">
        <f t="shared" si="1"/>
        <v>0</v>
      </c>
      <c r="G120" s="28"/>
    </row>
    <row r="121" spans="1:7" ht="15.75">
      <c r="A121" s="37"/>
      <c r="B121" s="133"/>
      <c r="C121" s="79" t="s">
        <v>14</v>
      </c>
      <c r="D121" s="83"/>
      <c r="E121" s="84"/>
      <c r="F121" s="14"/>
      <c r="G121" s="28"/>
    </row>
    <row r="122" spans="1:7" ht="15.75">
      <c r="A122" s="37"/>
      <c r="B122" s="133"/>
      <c r="C122" s="80" t="s">
        <v>21</v>
      </c>
      <c r="D122" s="76">
        <f>D123</f>
        <v>3000</v>
      </c>
      <c r="E122" s="76">
        <f>E123</f>
        <v>0</v>
      </c>
      <c r="F122" s="9">
        <f t="shared" si="1"/>
        <v>0</v>
      </c>
      <c r="G122" s="28"/>
    </row>
    <row r="123" spans="1:7" ht="31.5">
      <c r="A123" s="37"/>
      <c r="B123" s="133"/>
      <c r="C123" s="80" t="s">
        <v>149</v>
      </c>
      <c r="D123" s="76">
        <v>3000</v>
      </c>
      <c r="E123" s="76">
        <v>0</v>
      </c>
      <c r="F123" s="9">
        <f t="shared" si="1"/>
        <v>0</v>
      </c>
      <c r="G123" s="28"/>
    </row>
    <row r="124" spans="1:7" ht="15.75">
      <c r="A124" s="37"/>
      <c r="B124" s="138">
        <v>75495</v>
      </c>
      <c r="C124" s="132" t="s">
        <v>29</v>
      </c>
      <c r="D124" s="56">
        <f>D126</f>
        <v>10000</v>
      </c>
      <c r="E124" s="56">
        <f>E126</f>
        <v>1630</v>
      </c>
      <c r="F124" s="57">
        <f t="shared" si="1"/>
        <v>0.163</v>
      </c>
      <c r="G124" s="28"/>
    </row>
    <row r="125" spans="1:7" ht="15.75">
      <c r="A125" s="37"/>
      <c r="B125" s="133"/>
      <c r="C125" s="79" t="s">
        <v>14</v>
      </c>
      <c r="D125" s="62"/>
      <c r="E125" s="62"/>
      <c r="F125" s="14"/>
      <c r="G125" s="28"/>
    </row>
    <row r="126" spans="1:7" ht="31.5">
      <c r="A126" s="38"/>
      <c r="B126" s="140"/>
      <c r="C126" s="134" t="s">
        <v>159</v>
      </c>
      <c r="D126" s="23">
        <v>10000</v>
      </c>
      <c r="E126" s="23">
        <v>1630</v>
      </c>
      <c r="F126" s="16">
        <f t="shared" si="1"/>
        <v>0.163</v>
      </c>
      <c r="G126" s="28"/>
    </row>
    <row r="127" spans="1:7" ht="15.75">
      <c r="A127" s="195">
        <v>757</v>
      </c>
      <c r="B127" s="137"/>
      <c r="C127" s="132" t="s">
        <v>38</v>
      </c>
      <c r="D127" s="27">
        <f>D128+D131</f>
        <v>2346273</v>
      </c>
      <c r="E127" s="27">
        <f>E128+E131</f>
        <v>1043595.46</v>
      </c>
      <c r="F127" s="55">
        <f t="shared" si="1"/>
        <v>0.4447885902450397</v>
      </c>
      <c r="G127" s="28"/>
    </row>
    <row r="128" spans="1:7" ht="31.5">
      <c r="A128" s="196"/>
      <c r="B128" s="191">
        <v>75702</v>
      </c>
      <c r="C128" s="132" t="s">
        <v>39</v>
      </c>
      <c r="D128" s="56">
        <f>D130</f>
        <v>1928514</v>
      </c>
      <c r="E128" s="56">
        <f>E130</f>
        <v>1043595.46</v>
      </c>
      <c r="F128" s="57">
        <f t="shared" si="1"/>
        <v>0.541139685789162</v>
      </c>
      <c r="G128" s="28"/>
    </row>
    <row r="129" spans="1:7" ht="15.75">
      <c r="A129" s="196"/>
      <c r="B129" s="192"/>
      <c r="C129" s="79" t="s">
        <v>14</v>
      </c>
      <c r="D129" s="62"/>
      <c r="E129" s="63"/>
      <c r="F129" s="14"/>
      <c r="G129" s="28"/>
    </row>
    <row r="130" spans="1:7" ht="15.75">
      <c r="A130" s="196"/>
      <c r="B130" s="193"/>
      <c r="C130" s="134" t="s">
        <v>154</v>
      </c>
      <c r="D130" s="23">
        <v>1928514</v>
      </c>
      <c r="E130" s="12">
        <v>1043595.46</v>
      </c>
      <c r="F130" s="16">
        <f t="shared" si="1"/>
        <v>0.541139685789162</v>
      </c>
      <c r="G130" s="28"/>
    </row>
    <row r="131" spans="1:7" ht="31.5">
      <c r="A131" s="32"/>
      <c r="B131" s="191">
        <v>75704</v>
      </c>
      <c r="C131" s="132" t="s">
        <v>152</v>
      </c>
      <c r="D131" s="56">
        <f>D133</f>
        <v>417759</v>
      </c>
      <c r="E131" s="56">
        <f>E133</f>
        <v>0</v>
      </c>
      <c r="F131" s="57">
        <f>E131/D131</f>
        <v>0</v>
      </c>
      <c r="G131" s="28"/>
    </row>
    <row r="132" spans="1:7" ht="15.75">
      <c r="A132" s="32"/>
      <c r="B132" s="192"/>
      <c r="C132" s="79" t="s">
        <v>14</v>
      </c>
      <c r="D132" s="62"/>
      <c r="E132" s="63"/>
      <c r="F132" s="14"/>
      <c r="G132" s="28"/>
    </row>
    <row r="133" spans="1:7" ht="15.75">
      <c r="A133" s="32"/>
      <c r="B133" s="193"/>
      <c r="C133" s="134" t="s">
        <v>153</v>
      </c>
      <c r="D133" s="23">
        <v>417759</v>
      </c>
      <c r="E133" s="12">
        <v>0</v>
      </c>
      <c r="F133" s="16">
        <f>E133/D133</f>
        <v>0</v>
      </c>
      <c r="G133" s="28"/>
    </row>
    <row r="134" spans="1:7" ht="15.75">
      <c r="A134" s="2">
        <v>758</v>
      </c>
      <c r="B134" s="150"/>
      <c r="C134" s="132" t="s">
        <v>40</v>
      </c>
      <c r="D134" s="27">
        <f>D135</f>
        <v>2228009</v>
      </c>
      <c r="E134" s="27">
        <f>E135</f>
        <v>0</v>
      </c>
      <c r="F134" s="57" t="s">
        <v>199</v>
      </c>
      <c r="G134" s="28"/>
    </row>
    <row r="135" spans="1:7" ht="15.75">
      <c r="A135" s="32"/>
      <c r="B135" s="133">
        <v>75818</v>
      </c>
      <c r="C135" s="132" t="s">
        <v>41</v>
      </c>
      <c r="D135" s="56">
        <f>SUM(D137:D142)</f>
        <v>2228009</v>
      </c>
      <c r="E135" s="86">
        <v>0</v>
      </c>
      <c r="F135" s="57" t="s">
        <v>199</v>
      </c>
      <c r="G135" s="28"/>
    </row>
    <row r="136" spans="1:7" ht="15.75">
      <c r="A136" s="32"/>
      <c r="B136" s="133"/>
      <c r="C136" s="79" t="s">
        <v>14</v>
      </c>
      <c r="D136" s="62"/>
      <c r="E136" s="63"/>
      <c r="F136" s="14" t="s">
        <v>199</v>
      </c>
      <c r="G136" s="28"/>
    </row>
    <row r="137" spans="1:7" ht="15.75">
      <c r="A137" s="32"/>
      <c r="B137" s="133"/>
      <c r="C137" s="80" t="s">
        <v>42</v>
      </c>
      <c r="D137" s="22">
        <v>179040</v>
      </c>
      <c r="E137" s="20">
        <v>0</v>
      </c>
      <c r="F137" s="9" t="s">
        <v>199</v>
      </c>
      <c r="G137" s="28"/>
    </row>
    <row r="138" spans="1:7" ht="15.75">
      <c r="A138" s="32"/>
      <c r="B138" s="133"/>
      <c r="C138" s="80" t="s">
        <v>43</v>
      </c>
      <c r="D138" s="22">
        <v>1430441</v>
      </c>
      <c r="E138" s="20">
        <v>0</v>
      </c>
      <c r="F138" s="9" t="s">
        <v>199</v>
      </c>
      <c r="G138" s="28"/>
    </row>
    <row r="139" spans="1:7" ht="15.75">
      <c r="A139" s="32"/>
      <c r="B139" s="133"/>
      <c r="C139" s="80" t="s">
        <v>131</v>
      </c>
      <c r="D139" s="22">
        <v>264178</v>
      </c>
      <c r="E139" s="20">
        <v>0</v>
      </c>
      <c r="F139" s="9" t="s">
        <v>199</v>
      </c>
      <c r="G139" s="28"/>
    </row>
    <row r="140" spans="1:7" ht="31.5">
      <c r="A140" s="32"/>
      <c r="B140" s="133"/>
      <c r="C140" s="80" t="s">
        <v>190</v>
      </c>
      <c r="D140" s="22">
        <v>260000</v>
      </c>
      <c r="E140" s="20"/>
      <c r="F140" s="9" t="s">
        <v>199</v>
      </c>
      <c r="G140" s="28"/>
    </row>
    <row r="141" spans="1:7" ht="31.5">
      <c r="A141" s="32"/>
      <c r="B141" s="133"/>
      <c r="C141" s="80" t="s">
        <v>132</v>
      </c>
      <c r="D141" s="22">
        <v>40000</v>
      </c>
      <c r="E141" s="20">
        <v>0</v>
      </c>
      <c r="F141" s="9" t="s">
        <v>199</v>
      </c>
      <c r="G141" s="28"/>
    </row>
    <row r="142" spans="1:7" ht="31.5">
      <c r="A142" s="34"/>
      <c r="B142" s="140"/>
      <c r="C142" s="90" t="s">
        <v>133</v>
      </c>
      <c r="D142" s="22">
        <v>54350</v>
      </c>
      <c r="E142" s="20">
        <v>0</v>
      </c>
      <c r="F142" s="9" t="s">
        <v>199</v>
      </c>
      <c r="G142" s="28"/>
    </row>
    <row r="143" spans="1:7" ht="15.75">
      <c r="A143" s="2">
        <v>801</v>
      </c>
      <c r="B143" s="137"/>
      <c r="C143" s="132" t="s">
        <v>44</v>
      </c>
      <c r="D143" s="27">
        <f>D147+D165+D172+D193+D200+D221+D229+D144</f>
        <v>47466022</v>
      </c>
      <c r="E143" s="27">
        <f>E147+E165+E172+E193+E200+E221+E229+E144</f>
        <v>22372853.01</v>
      </c>
      <c r="F143" s="57">
        <f aca="true" t="shared" si="2" ref="F143:F188">E143/D143</f>
        <v>0.4713445969835012</v>
      </c>
      <c r="G143" s="28"/>
    </row>
    <row r="144" spans="1:7" ht="15.75">
      <c r="A144" s="32"/>
      <c r="B144" s="138" t="s">
        <v>191</v>
      </c>
      <c r="C144" s="132" t="s">
        <v>192</v>
      </c>
      <c r="D144" s="56">
        <f>D146</f>
        <v>120000</v>
      </c>
      <c r="E144" s="56">
        <f>E146</f>
        <v>0</v>
      </c>
      <c r="F144" s="57">
        <f>E144/D144</f>
        <v>0</v>
      </c>
      <c r="G144" s="28"/>
    </row>
    <row r="145" spans="1:7" ht="15.75">
      <c r="A145" s="32"/>
      <c r="B145" s="133"/>
      <c r="C145" s="79" t="s">
        <v>14</v>
      </c>
      <c r="D145" s="62"/>
      <c r="E145" s="63"/>
      <c r="F145" s="14"/>
      <c r="G145" s="28"/>
    </row>
    <row r="146" spans="1:7" ht="15.75">
      <c r="A146" s="32"/>
      <c r="B146" s="133"/>
      <c r="C146" s="80" t="s">
        <v>23</v>
      </c>
      <c r="D146" s="22">
        <v>120000</v>
      </c>
      <c r="E146" s="11">
        <v>0</v>
      </c>
      <c r="F146" s="9">
        <f>E146/D146</f>
        <v>0</v>
      </c>
      <c r="G146" s="28"/>
    </row>
    <row r="147" spans="1:7" ht="15.75">
      <c r="A147" s="32"/>
      <c r="B147" s="138">
        <v>80120</v>
      </c>
      <c r="C147" s="132" t="s">
        <v>45</v>
      </c>
      <c r="D147" s="56">
        <f>D149+D153</f>
        <v>14342452</v>
      </c>
      <c r="E147" s="56">
        <f>E149+E153</f>
        <v>7510643.68</v>
      </c>
      <c r="F147" s="57">
        <f t="shared" si="2"/>
        <v>0.5236652477554047</v>
      </c>
      <c r="G147" s="28"/>
    </row>
    <row r="148" spans="1:7" ht="15.75">
      <c r="A148" s="32"/>
      <c r="B148" s="133"/>
      <c r="C148" s="79" t="s">
        <v>14</v>
      </c>
      <c r="D148" s="62"/>
      <c r="E148" s="63"/>
      <c r="F148" s="14"/>
      <c r="G148" s="28"/>
    </row>
    <row r="149" spans="1:7" ht="15.75">
      <c r="A149" s="32"/>
      <c r="B149" s="133"/>
      <c r="C149" s="80" t="s">
        <v>21</v>
      </c>
      <c r="D149" s="22">
        <v>14222452</v>
      </c>
      <c r="E149" s="11">
        <v>7510643.68</v>
      </c>
      <c r="F149" s="9">
        <f t="shared" si="2"/>
        <v>0.5280836018993068</v>
      </c>
      <c r="G149" s="28"/>
    </row>
    <row r="150" spans="1:7" ht="15.75">
      <c r="A150" s="32"/>
      <c r="B150" s="133"/>
      <c r="C150" s="80" t="s">
        <v>150</v>
      </c>
      <c r="D150" s="22">
        <v>10756654</v>
      </c>
      <c r="E150" s="11">
        <v>5768672.01</v>
      </c>
      <c r="F150" s="9">
        <f t="shared" si="2"/>
        <v>0.5362887018584032</v>
      </c>
      <c r="G150" s="28"/>
    </row>
    <row r="151" spans="1:7" ht="15.75">
      <c r="A151" s="32"/>
      <c r="B151" s="133"/>
      <c r="C151" s="80" t="s">
        <v>107</v>
      </c>
      <c r="D151" s="22">
        <v>1704956</v>
      </c>
      <c r="E151" s="11">
        <v>755192.1</v>
      </c>
      <c r="F151" s="9">
        <f t="shared" si="2"/>
        <v>0.44293934858142964</v>
      </c>
      <c r="G151" s="28"/>
    </row>
    <row r="152" spans="1:8" ht="31.5">
      <c r="A152" s="32"/>
      <c r="B152" s="133"/>
      <c r="C152" s="80" t="s">
        <v>149</v>
      </c>
      <c r="D152" s="22">
        <f>D149-D150-D151</f>
        <v>1760842</v>
      </c>
      <c r="E152" s="22">
        <f>E149-E150-E151</f>
        <v>986779.57</v>
      </c>
      <c r="F152" s="9">
        <f t="shared" si="2"/>
        <v>0.5604021087638754</v>
      </c>
      <c r="G152" s="28"/>
      <c r="H152" s="1">
        <f>E150+E168+E175+E196+E203+E224+E232</f>
        <v>16163272.709999999</v>
      </c>
    </row>
    <row r="153" spans="1:7" ht="15.75">
      <c r="A153" s="32"/>
      <c r="B153" s="133"/>
      <c r="C153" s="80" t="s">
        <v>23</v>
      </c>
      <c r="D153" s="22">
        <v>120000</v>
      </c>
      <c r="E153" s="11">
        <v>0</v>
      </c>
      <c r="F153" s="9">
        <f t="shared" si="2"/>
        <v>0</v>
      </c>
      <c r="G153" s="28"/>
    </row>
    <row r="154" spans="1:7" ht="15.75">
      <c r="A154" s="37"/>
      <c r="B154" s="142"/>
      <c r="C154" s="139" t="s">
        <v>24</v>
      </c>
      <c r="D154" s="68"/>
      <c r="E154" s="68"/>
      <c r="F154" s="16"/>
      <c r="G154" s="28"/>
    </row>
    <row r="155" spans="1:7" ht="15.75">
      <c r="A155" s="37"/>
      <c r="B155" s="142"/>
      <c r="C155" s="79" t="s">
        <v>174</v>
      </c>
      <c r="D155" s="69">
        <f>455908+2880044</f>
        <v>3335952</v>
      </c>
      <c r="E155" s="7">
        <v>1755245.16</v>
      </c>
      <c r="F155" s="14">
        <f t="shared" si="2"/>
        <v>0.5261601965495906</v>
      </c>
      <c r="G155" s="28"/>
    </row>
    <row r="156" spans="1:7" ht="15.75">
      <c r="A156" s="37"/>
      <c r="B156" s="142"/>
      <c r="C156" s="80" t="s">
        <v>46</v>
      </c>
      <c r="D156" s="22">
        <f>275983+1827242</f>
        <v>2103225</v>
      </c>
      <c r="E156" s="11">
        <v>1144962.39</v>
      </c>
      <c r="F156" s="9">
        <f t="shared" si="2"/>
        <v>0.5443841671718432</v>
      </c>
      <c r="G156" s="28"/>
    </row>
    <row r="157" spans="1:7" ht="15.75">
      <c r="A157" s="37"/>
      <c r="B157" s="142"/>
      <c r="C157" s="80" t="s">
        <v>47</v>
      </c>
      <c r="D157" s="22">
        <f>359275+2520742</f>
        <v>2880017</v>
      </c>
      <c r="E157" s="11">
        <v>1632504.52</v>
      </c>
      <c r="F157" s="9">
        <f t="shared" si="2"/>
        <v>0.5668385013005132</v>
      </c>
      <c r="G157" s="36">
        <f>D155+D156+D157+D158+D159+D160+D161</f>
        <v>14342452</v>
      </c>
    </row>
    <row r="158" spans="1:7" ht="15.75">
      <c r="A158" s="37"/>
      <c r="B158" s="142"/>
      <c r="C158" s="90" t="s">
        <v>123</v>
      </c>
      <c r="D158" s="22">
        <f>236369+1578436</f>
        <v>1814805</v>
      </c>
      <c r="E158" s="11">
        <v>992809.31</v>
      </c>
      <c r="F158" s="9">
        <f t="shared" si="2"/>
        <v>0.5470611498205041</v>
      </c>
      <c r="G158" s="36">
        <f>E155+E156+E157+E158+E159+E160+E161</f>
        <v>7510643.680000001</v>
      </c>
    </row>
    <row r="159" spans="1:7" ht="15.75">
      <c r="A159" s="37"/>
      <c r="B159" s="142"/>
      <c r="C159" s="80" t="s">
        <v>193</v>
      </c>
      <c r="D159" s="22">
        <f>289911+1902218</f>
        <v>2192129</v>
      </c>
      <c r="E159" s="11">
        <v>1195936.97</v>
      </c>
      <c r="F159" s="9">
        <f t="shared" si="2"/>
        <v>0.545559577013944</v>
      </c>
      <c r="G159" s="28"/>
    </row>
    <row r="160" spans="1:7" ht="15.75">
      <c r="A160" s="37"/>
      <c r="B160" s="142"/>
      <c r="C160" s="80" t="s">
        <v>50</v>
      </c>
      <c r="D160" s="22">
        <f>13396+47972</f>
        <v>61368</v>
      </c>
      <c r="E160" s="11">
        <v>33993.23</v>
      </c>
      <c r="F160" s="9">
        <f t="shared" si="2"/>
        <v>0.5539243579715813</v>
      </c>
      <c r="G160" s="28"/>
    </row>
    <row r="161" spans="1:7" ht="15.75">
      <c r="A161" s="37"/>
      <c r="B161" s="142"/>
      <c r="C161" s="90" t="s">
        <v>124</v>
      </c>
      <c r="D161" s="22">
        <f>SUM(D162:D164)</f>
        <v>1954956</v>
      </c>
      <c r="E161" s="22">
        <f>SUM(E163:E164)</f>
        <v>755192.1</v>
      </c>
      <c r="F161" s="9">
        <f t="shared" si="2"/>
        <v>0.3862962133163099</v>
      </c>
      <c r="G161" s="28"/>
    </row>
    <row r="162" spans="1:7" ht="15.75">
      <c r="A162" s="37"/>
      <c r="B162" s="142"/>
      <c r="C162" s="180" t="s">
        <v>194</v>
      </c>
      <c r="D162" s="22">
        <v>130000</v>
      </c>
      <c r="E162" s="22">
        <v>0</v>
      </c>
      <c r="F162" s="9"/>
      <c r="G162" s="28"/>
    </row>
    <row r="163" spans="1:7" ht="15.75">
      <c r="A163" s="37"/>
      <c r="B163" s="142"/>
      <c r="C163" s="80" t="s">
        <v>118</v>
      </c>
      <c r="D163" s="22">
        <f>D151</f>
        <v>1704956</v>
      </c>
      <c r="E163" s="22">
        <f>E151</f>
        <v>755192.1</v>
      </c>
      <c r="F163" s="9">
        <f t="shared" si="2"/>
        <v>0.44293934858142964</v>
      </c>
      <c r="G163" s="28"/>
    </row>
    <row r="164" spans="1:7" ht="15.75">
      <c r="A164" s="37"/>
      <c r="B164" s="142"/>
      <c r="C164" s="151" t="s">
        <v>119</v>
      </c>
      <c r="D164" s="22">
        <f>D153</f>
        <v>120000</v>
      </c>
      <c r="E164" s="22">
        <f>E153</f>
        <v>0</v>
      </c>
      <c r="F164" s="9">
        <f t="shared" si="2"/>
        <v>0</v>
      </c>
      <c r="G164" s="28"/>
    </row>
    <row r="165" spans="1:7" ht="15.75">
      <c r="A165" s="37"/>
      <c r="B165" s="138">
        <v>80123</v>
      </c>
      <c r="C165" s="132" t="s">
        <v>51</v>
      </c>
      <c r="D165" s="56">
        <f>D167</f>
        <v>863328</v>
      </c>
      <c r="E165" s="56">
        <f>E167</f>
        <v>460516.36</v>
      </c>
      <c r="F165" s="57">
        <f t="shared" si="2"/>
        <v>0.5334199284628786</v>
      </c>
      <c r="G165" s="28"/>
    </row>
    <row r="166" spans="1:7" ht="15.75">
      <c r="A166" s="37"/>
      <c r="B166" s="152"/>
      <c r="C166" s="79" t="s">
        <v>14</v>
      </c>
      <c r="D166" s="62"/>
      <c r="E166" s="63"/>
      <c r="F166" s="14"/>
      <c r="G166" s="28"/>
    </row>
    <row r="167" spans="1:7" ht="15.75">
      <c r="A167" s="37"/>
      <c r="B167" s="152"/>
      <c r="C167" s="80" t="s">
        <v>21</v>
      </c>
      <c r="D167" s="22">
        <v>863328</v>
      </c>
      <c r="E167" s="11">
        <v>460516.36</v>
      </c>
      <c r="F167" s="9">
        <f t="shared" si="2"/>
        <v>0.5334199284628786</v>
      </c>
      <c r="G167" s="28"/>
    </row>
    <row r="168" spans="1:7" ht="15.75">
      <c r="A168" s="37"/>
      <c r="B168" s="152"/>
      <c r="C168" s="80" t="s">
        <v>150</v>
      </c>
      <c r="D168" s="22">
        <v>787317</v>
      </c>
      <c r="E168" s="11">
        <v>413946.41</v>
      </c>
      <c r="F168" s="9">
        <f t="shared" si="2"/>
        <v>0.5257684134852925</v>
      </c>
      <c r="G168" s="28"/>
    </row>
    <row r="169" spans="1:7" ht="31.5">
      <c r="A169" s="37"/>
      <c r="B169" s="152"/>
      <c r="C169" s="80" t="s">
        <v>179</v>
      </c>
      <c r="D169" s="22">
        <f>D167-D168</f>
        <v>76011</v>
      </c>
      <c r="E169" s="22">
        <f>E167-E168</f>
        <v>46569.95000000001</v>
      </c>
      <c r="F169" s="9">
        <f>E169/D169</f>
        <v>0.6126738235255426</v>
      </c>
      <c r="G169" s="28"/>
    </row>
    <row r="170" spans="1:7" ht="15.75">
      <c r="A170" s="37"/>
      <c r="B170" s="199"/>
      <c r="C170" s="139" t="s">
        <v>24</v>
      </c>
      <c r="D170" s="68"/>
      <c r="E170" s="68"/>
      <c r="F170" s="16"/>
      <c r="G170" s="28"/>
    </row>
    <row r="171" spans="1:7" ht="15.75">
      <c r="A171" s="37"/>
      <c r="B171" s="199"/>
      <c r="C171" s="120" t="s">
        <v>193</v>
      </c>
      <c r="D171" s="26">
        <f>D167</f>
        <v>863328</v>
      </c>
      <c r="E171" s="18">
        <f>E167</f>
        <v>460516.36</v>
      </c>
      <c r="F171" s="19">
        <f t="shared" si="2"/>
        <v>0.5334199284628786</v>
      </c>
      <c r="G171" s="28"/>
    </row>
    <row r="172" spans="1:7" ht="15.75">
      <c r="A172" s="37"/>
      <c r="B172" s="138">
        <v>80130</v>
      </c>
      <c r="C172" s="132" t="s">
        <v>56</v>
      </c>
      <c r="D172" s="56">
        <f>D174+D178</f>
        <v>28996031</v>
      </c>
      <c r="E172" s="56">
        <f>E174+E178</f>
        <v>13013477.88</v>
      </c>
      <c r="F172" s="57">
        <f t="shared" si="2"/>
        <v>0.4488020405275467</v>
      </c>
      <c r="G172" s="28"/>
    </row>
    <row r="173" spans="1:7" ht="15.75">
      <c r="A173" s="37"/>
      <c r="B173" s="133"/>
      <c r="C173" s="79" t="s">
        <v>14</v>
      </c>
      <c r="D173" s="62"/>
      <c r="E173" s="63"/>
      <c r="F173" s="14"/>
      <c r="G173" s="28"/>
    </row>
    <row r="174" spans="1:7" ht="15.75">
      <c r="A174" s="37"/>
      <c r="B174" s="133"/>
      <c r="C174" s="80" t="s">
        <v>21</v>
      </c>
      <c r="D174" s="22">
        <v>23721737</v>
      </c>
      <c r="E174" s="11">
        <v>12317344.65</v>
      </c>
      <c r="F174" s="9">
        <f t="shared" si="2"/>
        <v>0.519242947934209</v>
      </c>
      <c r="G174" s="28"/>
    </row>
    <row r="175" spans="1:7" ht="15.75">
      <c r="A175" s="37"/>
      <c r="B175" s="133"/>
      <c r="C175" s="80" t="s">
        <v>150</v>
      </c>
      <c r="D175" s="22">
        <v>18382645</v>
      </c>
      <c r="E175" s="11">
        <v>9537720.29</v>
      </c>
      <c r="F175" s="9">
        <f t="shared" si="2"/>
        <v>0.5188437403866527</v>
      </c>
      <c r="G175" s="28"/>
    </row>
    <row r="176" spans="1:7" ht="15.75">
      <c r="A176" s="37"/>
      <c r="B176" s="133"/>
      <c r="C176" s="80" t="s">
        <v>107</v>
      </c>
      <c r="D176" s="22">
        <v>1523311</v>
      </c>
      <c r="E176" s="11">
        <v>605973.28</v>
      </c>
      <c r="F176" s="9">
        <f t="shared" si="2"/>
        <v>0.3978001077915147</v>
      </c>
      <c r="G176" s="28"/>
    </row>
    <row r="177" spans="1:7" ht="31.5">
      <c r="A177" s="37"/>
      <c r="B177" s="133"/>
      <c r="C177" s="80" t="s">
        <v>149</v>
      </c>
      <c r="D177" s="22">
        <f>D174-D175-D176</f>
        <v>3815781</v>
      </c>
      <c r="E177" s="22">
        <f>E174-E175-E176</f>
        <v>2173651.080000001</v>
      </c>
      <c r="F177" s="9">
        <f t="shared" si="2"/>
        <v>0.5696477549419112</v>
      </c>
      <c r="G177" s="28"/>
    </row>
    <row r="178" spans="1:7" ht="15.75">
      <c r="A178" s="37"/>
      <c r="B178" s="133"/>
      <c r="C178" s="80" t="s">
        <v>23</v>
      </c>
      <c r="D178" s="22">
        <v>5274294</v>
      </c>
      <c r="E178" s="11">
        <v>696133.23</v>
      </c>
      <c r="F178" s="9">
        <f t="shared" si="2"/>
        <v>0.13198604969688835</v>
      </c>
      <c r="G178" s="28"/>
    </row>
    <row r="179" spans="1:7" ht="15.75">
      <c r="A179" s="37"/>
      <c r="B179" s="133"/>
      <c r="C179" s="139" t="s">
        <v>24</v>
      </c>
      <c r="D179" s="68"/>
      <c r="E179" s="68"/>
      <c r="F179" s="16"/>
      <c r="G179" s="28"/>
    </row>
    <row r="180" spans="1:7" ht="15.75">
      <c r="A180" s="39"/>
      <c r="B180" s="153"/>
      <c r="C180" s="80" t="s">
        <v>181</v>
      </c>
      <c r="D180" s="22">
        <f>135135+605676</f>
        <v>740811</v>
      </c>
      <c r="E180" s="11">
        <v>407467.37</v>
      </c>
      <c r="F180" s="9">
        <f t="shared" si="2"/>
        <v>0.5500287792702863</v>
      </c>
      <c r="G180" s="28"/>
    </row>
    <row r="181" spans="1:7" ht="15.75">
      <c r="A181" s="39"/>
      <c r="B181" s="153"/>
      <c r="C181" s="80" t="s">
        <v>54</v>
      </c>
      <c r="D181" s="22">
        <f>248182+2151430</f>
        <v>2399612</v>
      </c>
      <c r="E181" s="11">
        <v>1237863.25</v>
      </c>
      <c r="F181" s="9">
        <f t="shared" si="2"/>
        <v>0.5158597514931581</v>
      </c>
      <c r="G181" s="28"/>
    </row>
    <row r="182" spans="1:7" ht="15.75">
      <c r="A182" s="39"/>
      <c r="B182" s="153"/>
      <c r="C182" s="90" t="s">
        <v>48</v>
      </c>
      <c r="D182" s="22">
        <v>2621157</v>
      </c>
      <c r="E182" s="11">
        <v>1465790.67</v>
      </c>
      <c r="F182" s="9">
        <f t="shared" si="2"/>
        <v>0.559215136674377</v>
      </c>
      <c r="G182" s="28"/>
    </row>
    <row r="183" spans="1:7" ht="15.75">
      <c r="A183" s="39"/>
      <c r="B183" s="153"/>
      <c r="C183" s="80" t="s">
        <v>52</v>
      </c>
      <c r="D183" s="22">
        <f>661730+2578567</f>
        <v>3240297</v>
      </c>
      <c r="E183" s="11">
        <v>1627585.59</v>
      </c>
      <c r="F183" s="9">
        <f t="shared" si="2"/>
        <v>0.5022951877559372</v>
      </c>
      <c r="G183" s="36">
        <f>D180+D181+D182+D183+D184+D185+D186+D187+D188+D189</f>
        <v>28996031</v>
      </c>
    </row>
    <row r="184" spans="1:7" ht="15.75">
      <c r="A184" s="39"/>
      <c r="B184" s="153"/>
      <c r="C184" s="90" t="s">
        <v>53</v>
      </c>
      <c r="D184" s="22">
        <f>583715+4469148</f>
        <v>5052863</v>
      </c>
      <c r="E184" s="11">
        <v>2635071.81</v>
      </c>
      <c r="F184" s="9">
        <f t="shared" si="2"/>
        <v>0.5215007432419997</v>
      </c>
      <c r="G184" s="36">
        <f>E180+E181+E182+E183+E184+E185+E186+E187+E188+E189</f>
        <v>13013477.879999999</v>
      </c>
    </row>
    <row r="185" spans="1:7" ht="15.75">
      <c r="A185" s="39"/>
      <c r="B185" s="153"/>
      <c r="C185" s="80" t="s">
        <v>49</v>
      </c>
      <c r="D185" s="22">
        <f>357006+1138942</f>
        <v>1495948</v>
      </c>
      <c r="E185" s="11">
        <v>765365.32</v>
      </c>
      <c r="F185" s="9">
        <f t="shared" si="2"/>
        <v>0.5116256180027647</v>
      </c>
      <c r="G185" s="28"/>
    </row>
    <row r="186" spans="1:7" ht="15.75">
      <c r="A186" s="39"/>
      <c r="B186" s="153"/>
      <c r="C186" s="80" t="s">
        <v>50</v>
      </c>
      <c r="D186" s="22">
        <f>162783+660927</f>
        <v>823710</v>
      </c>
      <c r="E186" s="11">
        <v>437015.36</v>
      </c>
      <c r="F186" s="9">
        <f t="shared" si="2"/>
        <v>0.5305451675953916</v>
      </c>
      <c r="G186" s="36"/>
    </row>
    <row r="187" spans="1:7" ht="15.75">
      <c r="A187" s="39"/>
      <c r="B187" s="153"/>
      <c r="C187" s="80" t="s">
        <v>135</v>
      </c>
      <c r="D187" s="22">
        <f>337855+2590103</f>
        <v>2927958</v>
      </c>
      <c r="E187" s="11">
        <v>1584407.05</v>
      </c>
      <c r="F187" s="9">
        <f t="shared" si="2"/>
        <v>0.5411303884823485</v>
      </c>
      <c r="G187" s="28"/>
    </row>
    <row r="188" spans="1:7" ht="15.75">
      <c r="A188" s="39"/>
      <c r="B188" s="153"/>
      <c r="C188" s="90" t="s">
        <v>125</v>
      </c>
      <c r="D188" s="22">
        <f>740913+1916827</f>
        <v>2657740</v>
      </c>
      <c r="E188" s="11">
        <v>1555424.95</v>
      </c>
      <c r="F188" s="9">
        <f t="shared" si="2"/>
        <v>0.5852434587280922</v>
      </c>
      <c r="G188" s="28"/>
    </row>
    <row r="189" spans="1:7" ht="15.75">
      <c r="A189" s="39"/>
      <c r="B189" s="153"/>
      <c r="C189" s="90" t="s">
        <v>124</v>
      </c>
      <c r="D189" s="22">
        <f>SUM(D190:D192)</f>
        <v>7035935</v>
      </c>
      <c r="E189" s="22">
        <f>SUM(E190:E192)</f>
        <v>1297486.51</v>
      </c>
      <c r="F189" s="9">
        <f aca="true" t="shared" si="3" ref="F189:F252">E189/D189</f>
        <v>0.18440854129550657</v>
      </c>
      <c r="G189" s="28"/>
    </row>
    <row r="190" spans="1:7" ht="15.75">
      <c r="A190" s="39"/>
      <c r="B190" s="153"/>
      <c r="C190" s="151" t="s">
        <v>120</v>
      </c>
      <c r="D190" s="22">
        <f>D176</f>
        <v>1523311</v>
      </c>
      <c r="E190" s="22">
        <f>E176</f>
        <v>605973.28</v>
      </c>
      <c r="F190" s="9">
        <f t="shared" si="3"/>
        <v>0.3978001077915147</v>
      </c>
      <c r="G190" s="28"/>
    </row>
    <row r="191" spans="1:7" ht="15.75">
      <c r="A191" s="39"/>
      <c r="B191" s="153"/>
      <c r="C191" s="151" t="s">
        <v>175</v>
      </c>
      <c r="D191" s="26">
        <v>246900</v>
      </c>
      <c r="E191" s="18">
        <v>3950</v>
      </c>
      <c r="F191" s="9">
        <f t="shared" si="3"/>
        <v>0.0159983799108951</v>
      </c>
      <c r="G191" s="28"/>
    </row>
    <row r="192" spans="1:7" ht="15.75">
      <c r="A192" s="39"/>
      <c r="B192" s="154"/>
      <c r="C192" s="155" t="s">
        <v>121</v>
      </c>
      <c r="D192" s="23">
        <v>5265724</v>
      </c>
      <c r="E192" s="12">
        <v>687563.23</v>
      </c>
      <c r="F192" s="16">
        <f t="shared" si="3"/>
        <v>0.13057335135681247</v>
      </c>
      <c r="G192" s="28"/>
    </row>
    <row r="193" spans="1:7" ht="31.5">
      <c r="A193" s="39"/>
      <c r="B193" s="156">
        <v>80140</v>
      </c>
      <c r="C193" s="157" t="s">
        <v>59</v>
      </c>
      <c r="D193" s="70">
        <f>D195</f>
        <v>1049143</v>
      </c>
      <c r="E193" s="70">
        <f>E195</f>
        <v>509461.75</v>
      </c>
      <c r="F193" s="66">
        <f t="shared" si="3"/>
        <v>0.4855980071353476</v>
      </c>
      <c r="G193" s="28"/>
    </row>
    <row r="194" spans="1:7" ht="15.75">
      <c r="A194" s="39"/>
      <c r="B194" s="153"/>
      <c r="C194" s="79" t="s">
        <v>14</v>
      </c>
      <c r="D194" s="62"/>
      <c r="E194" s="63"/>
      <c r="F194" s="14"/>
      <c r="G194" s="28"/>
    </row>
    <row r="195" spans="1:7" ht="15.75">
      <c r="A195" s="39"/>
      <c r="B195" s="153"/>
      <c r="C195" s="80" t="s">
        <v>21</v>
      </c>
      <c r="D195" s="22">
        <v>1049143</v>
      </c>
      <c r="E195" s="11">
        <v>509461.75</v>
      </c>
      <c r="F195" s="9">
        <f t="shared" si="3"/>
        <v>0.4855980071353476</v>
      </c>
      <c r="G195" s="28"/>
    </row>
    <row r="196" spans="1:7" ht="15.75">
      <c r="A196" s="39"/>
      <c r="B196" s="153"/>
      <c r="C196" s="80" t="s">
        <v>150</v>
      </c>
      <c r="D196" s="22">
        <v>783473</v>
      </c>
      <c r="E196" s="11">
        <v>372444.16</v>
      </c>
      <c r="F196" s="9">
        <f t="shared" si="3"/>
        <v>0.47537587128082265</v>
      </c>
      <c r="G196" s="28"/>
    </row>
    <row r="197" spans="1:7" ht="31.5">
      <c r="A197" s="39"/>
      <c r="B197" s="153"/>
      <c r="C197" s="80" t="s">
        <v>149</v>
      </c>
      <c r="D197" s="22">
        <f>D195-D196</f>
        <v>265670</v>
      </c>
      <c r="E197" s="22">
        <f>E195-E196</f>
        <v>137017.59000000003</v>
      </c>
      <c r="F197" s="9">
        <f t="shared" si="3"/>
        <v>0.5157435540331992</v>
      </c>
      <c r="G197" s="28"/>
    </row>
    <row r="198" spans="1:7" ht="15.75">
      <c r="A198" s="37"/>
      <c r="B198" s="37"/>
      <c r="C198" s="197" t="s">
        <v>85</v>
      </c>
      <c r="D198" s="198"/>
      <c r="E198" s="89"/>
      <c r="F198" s="16"/>
      <c r="G198" s="28"/>
    </row>
    <row r="199" spans="1:7" ht="15.75">
      <c r="A199" s="37"/>
      <c r="B199" s="142"/>
      <c r="C199" s="80" t="s">
        <v>60</v>
      </c>
      <c r="D199" s="22">
        <f>D195</f>
        <v>1049143</v>
      </c>
      <c r="E199" s="22">
        <f>E195</f>
        <v>509461.75</v>
      </c>
      <c r="F199" s="14">
        <f t="shared" si="3"/>
        <v>0.4855980071353476</v>
      </c>
      <c r="G199" s="28"/>
    </row>
    <row r="200" spans="1:7" ht="15.75">
      <c r="A200" s="37"/>
      <c r="B200" s="138">
        <v>80146</v>
      </c>
      <c r="C200" s="132" t="s">
        <v>61</v>
      </c>
      <c r="D200" s="56">
        <f>D202</f>
        <v>192828</v>
      </c>
      <c r="E200" s="56">
        <f>E202</f>
        <v>64423.28</v>
      </c>
      <c r="F200" s="57">
        <f t="shared" si="3"/>
        <v>0.33409712282448606</v>
      </c>
      <c r="G200" s="28"/>
    </row>
    <row r="201" spans="1:7" ht="15.75">
      <c r="A201" s="37"/>
      <c r="B201" s="133"/>
      <c r="C201" s="79" t="s">
        <v>14</v>
      </c>
      <c r="D201" s="62"/>
      <c r="E201" s="63"/>
      <c r="F201" s="14"/>
      <c r="G201" s="28"/>
    </row>
    <row r="202" spans="1:7" ht="15.75">
      <c r="A202" s="37"/>
      <c r="B202" s="133"/>
      <c r="C202" s="80" t="s">
        <v>21</v>
      </c>
      <c r="D202" s="22">
        <v>192828</v>
      </c>
      <c r="E202" s="11">
        <v>64423.28</v>
      </c>
      <c r="F202" s="9">
        <f t="shared" si="3"/>
        <v>0.33409712282448606</v>
      </c>
      <c r="G202" s="28"/>
    </row>
    <row r="203" spans="1:7" ht="15.75">
      <c r="A203" s="37"/>
      <c r="B203" s="133"/>
      <c r="C203" s="80" t="s">
        <v>150</v>
      </c>
      <c r="D203" s="22">
        <v>32524</v>
      </c>
      <c r="E203" s="11">
        <v>16166.1</v>
      </c>
      <c r="F203" s="9">
        <f t="shared" si="3"/>
        <v>0.49705140819087446</v>
      </c>
      <c r="G203" s="28"/>
    </row>
    <row r="204" spans="1:7" ht="31.5">
      <c r="A204" s="37"/>
      <c r="B204" s="133"/>
      <c r="C204" s="80" t="s">
        <v>149</v>
      </c>
      <c r="D204" s="22">
        <f>D202-D203</f>
        <v>160304</v>
      </c>
      <c r="E204" s="22">
        <f>E202-E203</f>
        <v>48257.18</v>
      </c>
      <c r="F204" s="9">
        <f t="shared" si="3"/>
        <v>0.3010354077253219</v>
      </c>
      <c r="G204" s="28"/>
    </row>
    <row r="205" spans="1:7" ht="15.75">
      <c r="A205" s="37"/>
      <c r="B205" s="133"/>
      <c r="C205" s="139" t="s">
        <v>24</v>
      </c>
      <c r="D205" s="68"/>
      <c r="E205" s="68"/>
      <c r="F205" s="16"/>
      <c r="G205" s="28"/>
    </row>
    <row r="206" spans="1:7" ht="15.75">
      <c r="A206" s="37"/>
      <c r="B206" s="133"/>
      <c r="C206" s="79" t="s">
        <v>176</v>
      </c>
      <c r="D206" s="69">
        <f>12782+21216</f>
        <v>33998</v>
      </c>
      <c r="E206" s="7">
        <v>13080.9</v>
      </c>
      <c r="F206" s="14">
        <f t="shared" si="3"/>
        <v>0.38475498558738747</v>
      </c>
      <c r="G206" s="36">
        <f>SUM(D206:D220)</f>
        <v>192828</v>
      </c>
    </row>
    <row r="207" spans="1:7" ht="15.75">
      <c r="A207" s="37"/>
      <c r="B207" s="133"/>
      <c r="C207" s="80" t="s">
        <v>62</v>
      </c>
      <c r="D207" s="22">
        <v>15672</v>
      </c>
      <c r="E207" s="11">
        <v>7286</v>
      </c>
      <c r="F207" s="9">
        <f t="shared" si="3"/>
        <v>0.4649055640632976</v>
      </c>
      <c r="G207" s="36">
        <f>SUM(E206:E219)</f>
        <v>57623.280000000006</v>
      </c>
    </row>
    <row r="208" spans="1:7" ht="15.75">
      <c r="A208" s="37"/>
      <c r="B208" s="133"/>
      <c r="C208" s="80" t="s">
        <v>53</v>
      </c>
      <c r="D208" s="22">
        <v>25051</v>
      </c>
      <c r="E208" s="11">
        <v>7886</v>
      </c>
      <c r="F208" s="9">
        <f t="shared" si="3"/>
        <v>0.3147978124625763</v>
      </c>
      <c r="G208" s="28"/>
    </row>
    <row r="209" spans="1:7" ht="15.75">
      <c r="A209" s="37"/>
      <c r="B209" s="133"/>
      <c r="C209" s="90" t="s">
        <v>123</v>
      </c>
      <c r="D209" s="22">
        <v>7880</v>
      </c>
      <c r="E209" s="11">
        <v>2728</v>
      </c>
      <c r="F209" s="9">
        <f t="shared" si="3"/>
        <v>0.3461928934010152</v>
      </c>
      <c r="G209" s="28"/>
    </row>
    <row r="210" spans="1:7" ht="15.75">
      <c r="A210" s="37"/>
      <c r="B210" s="133"/>
      <c r="C210" s="80" t="s">
        <v>46</v>
      </c>
      <c r="D210" s="22">
        <v>4380</v>
      </c>
      <c r="E210" s="11">
        <v>2964.94</v>
      </c>
      <c r="F210" s="9">
        <f t="shared" si="3"/>
        <v>0.6769269406392694</v>
      </c>
      <c r="G210" s="28"/>
    </row>
    <row r="211" spans="1:7" ht="15.75">
      <c r="A211" s="39"/>
      <c r="B211" s="199"/>
      <c r="C211" s="80" t="s">
        <v>52</v>
      </c>
      <c r="D211" s="22">
        <v>15457</v>
      </c>
      <c r="E211" s="11">
        <v>3072.07</v>
      </c>
      <c r="F211" s="9">
        <f t="shared" si="3"/>
        <v>0.1987494339134373</v>
      </c>
      <c r="G211" s="28"/>
    </row>
    <row r="212" spans="1:7" ht="15.75">
      <c r="A212" s="39"/>
      <c r="B212" s="199"/>
      <c r="C212" s="80" t="s">
        <v>48</v>
      </c>
      <c r="D212" s="22">
        <v>22394</v>
      </c>
      <c r="E212" s="11">
        <v>5159.17</v>
      </c>
      <c r="F212" s="9">
        <f t="shared" si="3"/>
        <v>0.2303817986960793</v>
      </c>
      <c r="G212" s="28"/>
    </row>
    <row r="213" spans="1:7" ht="15.75">
      <c r="A213" s="39"/>
      <c r="B213" s="199"/>
      <c r="C213" s="80" t="s">
        <v>181</v>
      </c>
      <c r="D213" s="22">
        <v>6305</v>
      </c>
      <c r="E213" s="11">
        <v>1523.8</v>
      </c>
      <c r="F213" s="9">
        <f t="shared" si="3"/>
        <v>0.2416812053925456</v>
      </c>
      <c r="G213" s="28"/>
    </row>
    <row r="214" spans="1:7" ht="15.75">
      <c r="A214" s="39"/>
      <c r="B214" s="199"/>
      <c r="C214" s="80" t="s">
        <v>54</v>
      </c>
      <c r="D214" s="22">
        <v>13215</v>
      </c>
      <c r="E214" s="11">
        <v>5130</v>
      </c>
      <c r="F214" s="9">
        <f t="shared" si="3"/>
        <v>0.38819523269012485</v>
      </c>
      <c r="G214" s="28"/>
    </row>
    <row r="215" spans="1:7" ht="15.75">
      <c r="A215" s="39"/>
      <c r="B215" s="199"/>
      <c r="C215" s="80" t="s">
        <v>49</v>
      </c>
      <c r="D215" s="22">
        <v>12675</v>
      </c>
      <c r="E215" s="11">
        <v>3706.9</v>
      </c>
      <c r="F215" s="9">
        <f t="shared" si="3"/>
        <v>0.29245759368836294</v>
      </c>
      <c r="G215" s="28"/>
    </row>
    <row r="216" spans="1:7" ht="15.75">
      <c r="A216" s="39"/>
      <c r="B216" s="199"/>
      <c r="C216" s="80" t="s">
        <v>50</v>
      </c>
      <c r="D216" s="22">
        <v>9011</v>
      </c>
      <c r="E216" s="11">
        <v>0</v>
      </c>
      <c r="F216" s="9">
        <f t="shared" si="3"/>
        <v>0</v>
      </c>
      <c r="G216" s="28"/>
    </row>
    <row r="217" spans="1:7" ht="15.75">
      <c r="A217" s="39"/>
      <c r="B217" s="199"/>
      <c r="C217" s="90" t="s">
        <v>135</v>
      </c>
      <c r="D217" s="22">
        <v>11745</v>
      </c>
      <c r="E217" s="11">
        <v>2873.5</v>
      </c>
      <c r="F217" s="9">
        <f t="shared" si="3"/>
        <v>0.24465730097914007</v>
      </c>
      <c r="G217" s="28"/>
    </row>
    <row r="218" spans="1:7" ht="15.75">
      <c r="A218" s="39"/>
      <c r="B218" s="199"/>
      <c r="C218" s="90" t="s">
        <v>125</v>
      </c>
      <c r="D218" s="22">
        <v>4987</v>
      </c>
      <c r="E218" s="11">
        <v>1388.5</v>
      </c>
      <c r="F218" s="9">
        <f t="shared" si="3"/>
        <v>0.2784239021455785</v>
      </c>
      <c r="G218" s="28"/>
    </row>
    <row r="219" spans="1:7" ht="15.75">
      <c r="A219" s="39"/>
      <c r="B219" s="199"/>
      <c r="C219" s="80" t="s">
        <v>60</v>
      </c>
      <c r="D219" s="22">
        <v>3258</v>
      </c>
      <c r="E219" s="11">
        <v>823.5</v>
      </c>
      <c r="F219" s="9">
        <f t="shared" si="3"/>
        <v>0.2527624309392265</v>
      </c>
      <c r="G219" s="28"/>
    </row>
    <row r="220" spans="1:7" ht="15.75">
      <c r="A220" s="39"/>
      <c r="B220" s="142"/>
      <c r="C220" s="144" t="s">
        <v>195</v>
      </c>
      <c r="D220" s="59">
        <v>6800</v>
      </c>
      <c r="E220" s="4">
        <v>6800</v>
      </c>
      <c r="F220" s="5">
        <f t="shared" si="3"/>
        <v>1</v>
      </c>
      <c r="G220" s="28"/>
    </row>
    <row r="221" spans="1:7" ht="15.75">
      <c r="A221" s="39"/>
      <c r="B221" s="158">
        <v>80148</v>
      </c>
      <c r="C221" s="159" t="s">
        <v>134</v>
      </c>
      <c r="D221" s="94">
        <f>D223</f>
        <v>179233</v>
      </c>
      <c r="E221" s="94">
        <f>E223</f>
        <v>87696.32</v>
      </c>
      <c r="F221" s="109">
        <f t="shared" si="3"/>
        <v>0.48928668269794073</v>
      </c>
      <c r="G221" s="28"/>
    </row>
    <row r="222" spans="1:7" ht="15.75">
      <c r="A222" s="39"/>
      <c r="B222" s="142"/>
      <c r="C222" s="79" t="s">
        <v>14</v>
      </c>
      <c r="D222" s="77"/>
      <c r="E222" s="77"/>
      <c r="F222" s="14"/>
      <c r="G222" s="28"/>
    </row>
    <row r="223" spans="1:7" ht="15.75">
      <c r="A223" s="39"/>
      <c r="B223" s="142"/>
      <c r="C223" s="80" t="s">
        <v>21</v>
      </c>
      <c r="D223" s="76">
        <v>179233</v>
      </c>
      <c r="E223" s="76">
        <v>87696.32</v>
      </c>
      <c r="F223" s="9">
        <f t="shared" si="3"/>
        <v>0.48928668269794073</v>
      </c>
      <c r="G223" s="28"/>
    </row>
    <row r="224" spans="1:7" ht="15.75">
      <c r="A224" s="39"/>
      <c r="B224" s="142"/>
      <c r="C224" s="80" t="s">
        <v>150</v>
      </c>
      <c r="D224" s="76">
        <v>114941</v>
      </c>
      <c r="E224" s="76">
        <v>54070.74</v>
      </c>
      <c r="F224" s="9">
        <f t="shared" si="3"/>
        <v>0.4704216946085383</v>
      </c>
      <c r="G224" s="28"/>
    </row>
    <row r="225" spans="1:7" ht="31.5">
      <c r="A225" s="39"/>
      <c r="B225" s="142"/>
      <c r="C225" s="80" t="s">
        <v>149</v>
      </c>
      <c r="D225" s="76">
        <f>D223-D224</f>
        <v>64292</v>
      </c>
      <c r="E225" s="76">
        <f>E223-E224</f>
        <v>33625.58000000001</v>
      </c>
      <c r="F225" s="9">
        <f t="shared" si="3"/>
        <v>0.5230134386859953</v>
      </c>
      <c r="G225" s="28"/>
    </row>
    <row r="226" spans="1:7" ht="15.75">
      <c r="A226" s="39"/>
      <c r="B226" s="142"/>
      <c r="C226" s="139" t="s">
        <v>24</v>
      </c>
      <c r="D226" s="91"/>
      <c r="E226" s="91"/>
      <c r="F226" s="16"/>
      <c r="G226" s="36">
        <f>D227+D228</f>
        <v>179233</v>
      </c>
    </row>
    <row r="227" spans="1:7" ht="15.75">
      <c r="A227" s="39"/>
      <c r="B227" s="142"/>
      <c r="C227" s="92" t="s">
        <v>53</v>
      </c>
      <c r="D227" s="74">
        <f>40941+28483</f>
        <v>69424</v>
      </c>
      <c r="E227" s="74">
        <v>37899.32</v>
      </c>
      <c r="F227" s="14">
        <f t="shared" si="3"/>
        <v>0.5459109241760775</v>
      </c>
      <c r="G227" s="36">
        <f>E227+E228</f>
        <v>87696.32</v>
      </c>
    </row>
    <row r="228" spans="1:7" ht="15.75">
      <c r="A228" s="39"/>
      <c r="B228" s="142"/>
      <c r="C228" s="119" t="s">
        <v>48</v>
      </c>
      <c r="D228" s="117">
        <f>23351+86458</f>
        <v>109809</v>
      </c>
      <c r="E228" s="117">
        <v>49797</v>
      </c>
      <c r="F228" s="19">
        <f t="shared" si="3"/>
        <v>0.45348741906401113</v>
      </c>
      <c r="G228" s="28"/>
    </row>
    <row r="229" spans="1:7" ht="15.75">
      <c r="A229" s="39"/>
      <c r="B229" s="191">
        <v>80195</v>
      </c>
      <c r="C229" s="132" t="s">
        <v>29</v>
      </c>
      <c r="D229" s="56">
        <f>D231</f>
        <v>1723007</v>
      </c>
      <c r="E229" s="56">
        <f>E231</f>
        <v>726633.74</v>
      </c>
      <c r="F229" s="57">
        <f t="shared" si="3"/>
        <v>0.4217241949684476</v>
      </c>
      <c r="G229" s="28"/>
    </row>
    <row r="230" spans="1:7" ht="15.75">
      <c r="A230" s="39"/>
      <c r="B230" s="192"/>
      <c r="C230" s="79" t="s">
        <v>14</v>
      </c>
      <c r="D230" s="62"/>
      <c r="E230" s="63"/>
      <c r="F230" s="14"/>
      <c r="G230" s="28"/>
    </row>
    <row r="231" spans="1:7" ht="15.75">
      <c r="A231" s="39"/>
      <c r="B231" s="192"/>
      <c r="C231" s="80" t="s">
        <v>21</v>
      </c>
      <c r="D231" s="22">
        <v>1723007</v>
      </c>
      <c r="E231" s="11">
        <v>726633.74</v>
      </c>
      <c r="F231" s="9">
        <f t="shared" si="3"/>
        <v>0.4217241949684476</v>
      </c>
      <c r="G231" s="28"/>
    </row>
    <row r="232" spans="1:7" ht="15.75">
      <c r="A232" s="39"/>
      <c r="B232" s="192"/>
      <c r="C232" s="80" t="s">
        <v>150</v>
      </c>
      <c r="D232" s="22">
        <v>316598</v>
      </c>
      <c r="E232" s="11">
        <v>253</v>
      </c>
      <c r="F232" s="9">
        <f t="shared" si="3"/>
        <v>0.000799120651425467</v>
      </c>
      <c r="G232" s="28"/>
    </row>
    <row r="233" spans="1:7" ht="31.5">
      <c r="A233" s="39"/>
      <c r="B233" s="192"/>
      <c r="C233" s="80" t="s">
        <v>149</v>
      </c>
      <c r="D233" s="76">
        <f>D231-D232-D234</f>
        <v>401745</v>
      </c>
      <c r="E233" s="76">
        <f>E231-E232-E234</f>
        <v>275302.69</v>
      </c>
      <c r="F233" s="9">
        <f t="shared" si="3"/>
        <v>0.685267246636548</v>
      </c>
      <c r="G233" s="28"/>
    </row>
    <row r="234" spans="1:7" ht="31.5">
      <c r="A234" s="39"/>
      <c r="B234" s="192"/>
      <c r="C234" s="80" t="s">
        <v>170</v>
      </c>
      <c r="D234" s="21">
        <f>D235+D236</f>
        <v>1004664</v>
      </c>
      <c r="E234" s="21">
        <f>E235+E236</f>
        <v>451078.05</v>
      </c>
      <c r="F234" s="9">
        <f t="shared" si="3"/>
        <v>0.44898398867681133</v>
      </c>
      <c r="G234" s="28"/>
    </row>
    <row r="235" spans="1:7" ht="15.75">
      <c r="A235" s="39"/>
      <c r="B235" s="192"/>
      <c r="C235" s="80" t="s">
        <v>150</v>
      </c>
      <c r="D235" s="21">
        <v>382113</v>
      </c>
      <c r="E235" s="21">
        <v>152144.8</v>
      </c>
      <c r="F235" s="9">
        <f t="shared" si="3"/>
        <v>0.3981670343589461</v>
      </c>
      <c r="G235" s="28"/>
    </row>
    <row r="236" spans="1:7" ht="15.75">
      <c r="A236" s="39"/>
      <c r="B236" s="192"/>
      <c r="C236" s="134" t="s">
        <v>171</v>
      </c>
      <c r="D236" s="102">
        <v>622551</v>
      </c>
      <c r="E236" s="102">
        <v>298933.25</v>
      </c>
      <c r="F236" s="16">
        <f t="shared" si="3"/>
        <v>0.4801747166095629</v>
      </c>
      <c r="G236" s="28"/>
    </row>
    <row r="237" spans="1:7" ht="15.75">
      <c r="A237" s="39"/>
      <c r="B237" s="192"/>
      <c r="C237" s="139" t="s">
        <v>24</v>
      </c>
      <c r="D237" s="128"/>
      <c r="E237" s="128"/>
      <c r="F237" s="124"/>
      <c r="G237" s="28"/>
    </row>
    <row r="238" spans="1:7" ht="15.75">
      <c r="A238" s="39"/>
      <c r="B238" s="192"/>
      <c r="C238" s="80" t="s">
        <v>176</v>
      </c>
      <c r="D238" s="22">
        <v>18976</v>
      </c>
      <c r="E238" s="11">
        <v>14232</v>
      </c>
      <c r="F238" s="9">
        <f t="shared" si="3"/>
        <v>0.75</v>
      </c>
      <c r="G238" s="28"/>
    </row>
    <row r="239" spans="1:7" ht="15.75">
      <c r="A239" s="37"/>
      <c r="B239" s="142"/>
      <c r="C239" s="80" t="s">
        <v>46</v>
      </c>
      <c r="D239" s="22">
        <v>6055</v>
      </c>
      <c r="E239" s="11">
        <v>4542</v>
      </c>
      <c r="F239" s="9">
        <f t="shared" si="3"/>
        <v>0.7501238645747317</v>
      </c>
      <c r="G239" s="28"/>
    </row>
    <row r="240" spans="1:7" ht="15.75">
      <c r="A240" s="37"/>
      <c r="B240" s="142"/>
      <c r="C240" s="80" t="s">
        <v>62</v>
      </c>
      <c r="D240" s="22">
        <v>26950</v>
      </c>
      <c r="E240" s="11">
        <v>20213</v>
      </c>
      <c r="F240" s="9">
        <f t="shared" si="3"/>
        <v>0.7500185528756957</v>
      </c>
      <c r="G240" s="28"/>
    </row>
    <row r="241" spans="1:7" ht="15.75">
      <c r="A241" s="37"/>
      <c r="B241" s="142"/>
      <c r="C241" s="90" t="s">
        <v>123</v>
      </c>
      <c r="D241" s="22">
        <v>6835</v>
      </c>
      <c r="E241" s="11">
        <v>5127</v>
      </c>
      <c r="F241" s="9">
        <f t="shared" si="3"/>
        <v>0.7501097293343088</v>
      </c>
      <c r="G241" s="36">
        <f>SUM(D238:D252)</f>
        <v>1723007</v>
      </c>
    </row>
    <row r="242" spans="1:7" ht="15.75">
      <c r="A242" s="37"/>
      <c r="B242" s="142"/>
      <c r="C242" s="80" t="s">
        <v>52</v>
      </c>
      <c r="D242" s="22">
        <v>33902</v>
      </c>
      <c r="E242" s="11">
        <v>25427</v>
      </c>
      <c r="F242" s="9">
        <f t="shared" si="3"/>
        <v>0.7500147483924252</v>
      </c>
      <c r="G242" s="36">
        <f>SUM(E238:E252)</f>
        <v>726633.7399999999</v>
      </c>
    </row>
    <row r="243" spans="1:7" ht="15.75">
      <c r="A243" s="37"/>
      <c r="B243" s="142"/>
      <c r="C243" s="80" t="s">
        <v>53</v>
      </c>
      <c r="D243" s="22">
        <v>47125</v>
      </c>
      <c r="E243" s="11">
        <v>35344</v>
      </c>
      <c r="F243" s="9">
        <f t="shared" si="3"/>
        <v>0.7500053050397878</v>
      </c>
      <c r="G243" s="28"/>
    </row>
    <row r="244" spans="1:7" ht="15.75">
      <c r="A244" s="37"/>
      <c r="B244" s="142"/>
      <c r="C244" s="90" t="s">
        <v>48</v>
      </c>
      <c r="D244" s="22">
        <v>343973</v>
      </c>
      <c r="E244" s="11">
        <v>207111.68</v>
      </c>
      <c r="F244" s="9">
        <f t="shared" si="3"/>
        <v>0.6021160963215136</v>
      </c>
      <c r="G244" s="28"/>
    </row>
    <row r="245" spans="1:7" ht="15.75">
      <c r="A245" s="37"/>
      <c r="B245" s="142"/>
      <c r="C245" s="80" t="s">
        <v>54</v>
      </c>
      <c r="D245" s="22">
        <v>125026</v>
      </c>
      <c r="E245" s="11">
        <v>76743.3</v>
      </c>
      <c r="F245" s="9">
        <f t="shared" si="3"/>
        <v>0.6138187257050534</v>
      </c>
      <c r="G245" s="28"/>
    </row>
    <row r="246" spans="1:7" ht="15.75">
      <c r="A246" s="37"/>
      <c r="B246" s="142"/>
      <c r="C246" s="90" t="s">
        <v>49</v>
      </c>
      <c r="D246" s="22">
        <v>25499</v>
      </c>
      <c r="E246" s="11">
        <v>19125</v>
      </c>
      <c r="F246" s="9">
        <f t="shared" si="3"/>
        <v>0.7500294129181536</v>
      </c>
      <c r="G246" s="28"/>
    </row>
    <row r="247" spans="1:7" ht="15.75">
      <c r="A247" s="37"/>
      <c r="B247" s="142"/>
      <c r="C247" s="80" t="s">
        <v>135</v>
      </c>
      <c r="D247" s="22">
        <v>117392</v>
      </c>
      <c r="E247" s="11">
        <v>69397.08</v>
      </c>
      <c r="F247" s="9">
        <f t="shared" si="3"/>
        <v>0.5911568079596565</v>
      </c>
      <c r="G247" s="28"/>
    </row>
    <row r="248" spans="1:7" ht="15.75">
      <c r="A248" s="37"/>
      <c r="B248" s="142"/>
      <c r="C248" s="90" t="s">
        <v>125</v>
      </c>
      <c r="D248" s="22">
        <v>16590</v>
      </c>
      <c r="E248" s="11">
        <v>12443</v>
      </c>
      <c r="F248" s="9">
        <f t="shared" si="3"/>
        <v>0.7500301386377336</v>
      </c>
      <c r="G248" s="28"/>
    </row>
    <row r="249" spans="1:7" ht="15.75">
      <c r="A249" s="37"/>
      <c r="B249" s="142"/>
      <c r="C249" s="80" t="s">
        <v>181</v>
      </c>
      <c r="D249" s="22">
        <v>343552</v>
      </c>
      <c r="E249" s="11">
        <v>160282.9</v>
      </c>
      <c r="F249" s="9">
        <f t="shared" si="3"/>
        <v>0.4665462579172876</v>
      </c>
      <c r="G249" s="28"/>
    </row>
    <row r="250" spans="1:7" ht="15.75">
      <c r="A250" s="37"/>
      <c r="B250" s="142"/>
      <c r="C250" s="80" t="s">
        <v>50</v>
      </c>
      <c r="D250" s="22">
        <v>3499</v>
      </c>
      <c r="E250" s="11">
        <v>2625</v>
      </c>
      <c r="F250" s="9">
        <f t="shared" si="3"/>
        <v>0.7502143469562732</v>
      </c>
      <c r="G250" s="28"/>
    </row>
    <row r="251" spans="1:7" ht="15.75">
      <c r="A251" s="37"/>
      <c r="B251" s="142"/>
      <c r="C251" s="160" t="s">
        <v>60</v>
      </c>
      <c r="D251" s="26">
        <v>231135</v>
      </c>
      <c r="E251" s="18">
        <v>54830.09</v>
      </c>
      <c r="F251" s="19">
        <f t="shared" si="3"/>
        <v>0.23722106128453066</v>
      </c>
      <c r="G251" s="28"/>
    </row>
    <row r="252" spans="1:8" ht="15.75">
      <c r="A252" s="38"/>
      <c r="B252" s="149"/>
      <c r="C252" s="134" t="s">
        <v>26</v>
      </c>
      <c r="D252" s="23">
        <f>376398+100</f>
        <v>376498</v>
      </c>
      <c r="E252" s="12">
        <f>100+19090.69</f>
        <v>19190.69</v>
      </c>
      <c r="F252" s="16">
        <f t="shared" si="3"/>
        <v>0.05097155894586425</v>
      </c>
      <c r="G252" s="28"/>
      <c r="H252" s="1">
        <f>E152+E169+E177+E197+E204+E225+E233</f>
        <v>3701203.640000001</v>
      </c>
    </row>
    <row r="253" spans="1:7" ht="15.75">
      <c r="A253" s="196">
        <v>851</v>
      </c>
      <c r="B253" s="141"/>
      <c r="C253" s="135" t="s">
        <v>63</v>
      </c>
      <c r="D253" s="70">
        <f>D254+D259+D271</f>
        <v>19429279</v>
      </c>
      <c r="E253" s="70">
        <f>E254+E259+E271</f>
        <v>2017447.2600000002</v>
      </c>
      <c r="F253" s="60">
        <f aca="true" t="shared" si="4" ref="F253:F298">E253/D253</f>
        <v>0.10383541561166527</v>
      </c>
      <c r="G253" s="28"/>
    </row>
    <row r="254" spans="1:7" ht="15.75">
      <c r="A254" s="196"/>
      <c r="B254" s="191">
        <v>85111</v>
      </c>
      <c r="C254" s="132" t="s">
        <v>64</v>
      </c>
      <c r="D254" s="56">
        <f>D258+D256</f>
        <v>15891528</v>
      </c>
      <c r="E254" s="56">
        <f>E258+E256</f>
        <v>37787.81</v>
      </c>
      <c r="F254" s="57">
        <f t="shared" si="4"/>
        <v>0.002377858818862478</v>
      </c>
      <c r="G254" s="28"/>
    </row>
    <row r="255" spans="1:7" ht="15.75">
      <c r="A255" s="196"/>
      <c r="B255" s="192"/>
      <c r="C255" s="79" t="s">
        <v>14</v>
      </c>
      <c r="D255" s="93"/>
      <c r="E255" s="78"/>
      <c r="F255" s="14"/>
      <c r="G255" s="28"/>
    </row>
    <row r="256" spans="1:7" ht="15.75">
      <c r="A256" s="196"/>
      <c r="B256" s="192"/>
      <c r="C256" s="144" t="s">
        <v>21</v>
      </c>
      <c r="D256" s="112">
        <v>28600</v>
      </c>
      <c r="E256" s="75">
        <v>24854.81</v>
      </c>
      <c r="F256" s="5">
        <f>E256/D256</f>
        <v>0.8690493006993008</v>
      </c>
      <c r="G256" s="28"/>
    </row>
    <row r="257" spans="1:7" ht="31.5">
      <c r="A257" s="196"/>
      <c r="B257" s="192"/>
      <c r="C257" s="80" t="s">
        <v>149</v>
      </c>
      <c r="D257" s="113">
        <v>28600</v>
      </c>
      <c r="E257" s="185">
        <v>24854.81</v>
      </c>
      <c r="F257" s="9">
        <f>E257/D257</f>
        <v>0.8690493006993008</v>
      </c>
      <c r="G257" s="28"/>
    </row>
    <row r="258" spans="1:7" ht="15.75">
      <c r="A258" s="196"/>
      <c r="B258" s="193"/>
      <c r="C258" s="134" t="s">
        <v>23</v>
      </c>
      <c r="D258" s="23">
        <v>15862928</v>
      </c>
      <c r="E258" s="12">
        <v>12933</v>
      </c>
      <c r="F258" s="16">
        <f t="shared" si="4"/>
        <v>0.0008152971506899609</v>
      </c>
      <c r="G258" s="28"/>
    </row>
    <row r="259" spans="1:7" ht="31.5">
      <c r="A259" s="37"/>
      <c r="B259" s="138">
        <v>85156</v>
      </c>
      <c r="C259" s="132" t="s">
        <v>9</v>
      </c>
      <c r="D259" s="56">
        <f>D261</f>
        <v>3498751</v>
      </c>
      <c r="E259" s="56">
        <f>E261</f>
        <v>1964795.6</v>
      </c>
      <c r="F259" s="57">
        <f t="shared" si="4"/>
        <v>0.5615705718983718</v>
      </c>
      <c r="G259" s="28"/>
    </row>
    <row r="260" spans="1:7" ht="15.75">
      <c r="A260" s="37"/>
      <c r="B260" s="133"/>
      <c r="C260" s="79" t="s">
        <v>14</v>
      </c>
      <c r="D260" s="62"/>
      <c r="E260" s="63"/>
      <c r="F260" s="14"/>
      <c r="G260" s="28"/>
    </row>
    <row r="261" spans="1:7" ht="31.5">
      <c r="A261" s="37"/>
      <c r="B261" s="133"/>
      <c r="C261" s="80" t="s">
        <v>165</v>
      </c>
      <c r="D261" s="22">
        <v>3498751</v>
      </c>
      <c r="E261" s="22">
        <v>1964795.6</v>
      </c>
      <c r="F261" s="9">
        <f t="shared" si="4"/>
        <v>0.5615705718983718</v>
      </c>
      <c r="G261" s="28"/>
    </row>
    <row r="262" spans="1:7" ht="15.75">
      <c r="A262" s="37"/>
      <c r="B262" s="133"/>
      <c r="C262" s="139" t="s">
        <v>24</v>
      </c>
      <c r="D262" s="68"/>
      <c r="E262" s="68"/>
      <c r="F262" s="16"/>
      <c r="G262" s="28"/>
    </row>
    <row r="263" spans="1:7" ht="15.75">
      <c r="A263" s="37"/>
      <c r="B263" s="133"/>
      <c r="C263" s="79" t="s">
        <v>65</v>
      </c>
      <c r="D263" s="69">
        <v>3437714</v>
      </c>
      <c r="E263" s="69">
        <v>1940693.6</v>
      </c>
      <c r="F263" s="14">
        <f t="shared" si="4"/>
        <v>0.564530266333965</v>
      </c>
      <c r="G263" s="28"/>
    </row>
    <row r="264" spans="1:7" ht="15.75">
      <c r="A264" s="37"/>
      <c r="B264" s="133"/>
      <c r="C264" s="80" t="s">
        <v>66</v>
      </c>
      <c r="D264" s="22">
        <v>35950</v>
      </c>
      <c r="E264" s="22">
        <v>13712.4</v>
      </c>
      <c r="F264" s="9">
        <f t="shared" si="4"/>
        <v>0.3814297635605007</v>
      </c>
      <c r="G264" s="28"/>
    </row>
    <row r="265" spans="1:7" ht="15.75">
      <c r="A265" s="37"/>
      <c r="B265" s="133"/>
      <c r="C265" s="80" t="s">
        <v>67</v>
      </c>
      <c r="D265" s="22">
        <v>1124</v>
      </c>
      <c r="E265" s="22">
        <v>468</v>
      </c>
      <c r="F265" s="9">
        <f t="shared" si="4"/>
        <v>0.41637010676156583</v>
      </c>
      <c r="G265" s="36">
        <f>D263+D264+D265+D266+D267+D268+D269+D270</f>
        <v>3498751</v>
      </c>
    </row>
    <row r="266" spans="1:7" ht="15.75">
      <c r="A266" s="37"/>
      <c r="B266" s="133"/>
      <c r="C266" s="80" t="s">
        <v>68</v>
      </c>
      <c r="D266" s="22">
        <v>4493</v>
      </c>
      <c r="E266" s="22">
        <v>1310.4</v>
      </c>
      <c r="F266" s="9">
        <f t="shared" si="4"/>
        <v>0.2916536835076786</v>
      </c>
      <c r="G266" s="36">
        <f>SUM(E263:E269)</f>
        <v>1964514.7999999998</v>
      </c>
    </row>
    <row r="267" spans="1:7" ht="15.75">
      <c r="A267" s="37"/>
      <c r="B267" s="133"/>
      <c r="C267" s="90" t="s">
        <v>128</v>
      </c>
      <c r="D267" s="22">
        <v>14040</v>
      </c>
      <c r="E267" s="22">
        <v>6037.2</v>
      </c>
      <c r="F267" s="9">
        <f t="shared" si="4"/>
        <v>0.43</v>
      </c>
      <c r="G267" s="28"/>
    </row>
    <row r="268" spans="1:7" ht="15.75">
      <c r="A268" s="37"/>
      <c r="B268" s="133"/>
      <c r="C268" s="80" t="s">
        <v>69</v>
      </c>
      <c r="D268" s="22">
        <v>4493</v>
      </c>
      <c r="E268" s="22">
        <v>2012.4</v>
      </c>
      <c r="F268" s="9">
        <f t="shared" si="4"/>
        <v>0.447896728243935</v>
      </c>
      <c r="G268" s="28"/>
    </row>
    <row r="269" spans="1:7" ht="15.75">
      <c r="A269" s="37"/>
      <c r="B269" s="133"/>
      <c r="C269" s="80" t="s">
        <v>70</v>
      </c>
      <c r="D269" s="22">
        <v>562</v>
      </c>
      <c r="E269" s="22">
        <v>280.8</v>
      </c>
      <c r="F269" s="9">
        <f t="shared" si="4"/>
        <v>0.49964412811387904</v>
      </c>
      <c r="G269" s="28"/>
    </row>
    <row r="270" spans="1:7" ht="15.75">
      <c r="A270" s="37"/>
      <c r="B270" s="133"/>
      <c r="C270" s="120" t="s">
        <v>196</v>
      </c>
      <c r="D270" s="26">
        <v>375</v>
      </c>
      <c r="E270" s="26">
        <v>280.8</v>
      </c>
      <c r="F270" s="19">
        <f t="shared" si="4"/>
        <v>0.7488</v>
      </c>
      <c r="G270" s="28"/>
    </row>
    <row r="271" spans="1:7" ht="15.75">
      <c r="A271" s="37"/>
      <c r="B271" s="138">
        <v>85195</v>
      </c>
      <c r="C271" s="132" t="s">
        <v>29</v>
      </c>
      <c r="D271" s="56">
        <f>D273</f>
        <v>39000</v>
      </c>
      <c r="E271" s="56">
        <f>E273</f>
        <v>14863.85</v>
      </c>
      <c r="F271" s="57">
        <f t="shared" si="4"/>
        <v>0.381124358974359</v>
      </c>
      <c r="G271" s="28"/>
    </row>
    <row r="272" spans="1:7" ht="15.75">
      <c r="A272" s="37"/>
      <c r="B272" s="133"/>
      <c r="C272" s="79" t="s">
        <v>14</v>
      </c>
      <c r="D272" s="62"/>
      <c r="E272" s="63"/>
      <c r="F272" s="14"/>
      <c r="G272" s="28"/>
    </row>
    <row r="273" spans="1:7" ht="15.75">
      <c r="A273" s="37"/>
      <c r="B273" s="133"/>
      <c r="C273" s="80" t="s">
        <v>21</v>
      </c>
      <c r="D273" s="22">
        <v>39000</v>
      </c>
      <c r="E273" s="11">
        <v>14863.85</v>
      </c>
      <c r="F273" s="9">
        <f t="shared" si="4"/>
        <v>0.381124358974359</v>
      </c>
      <c r="G273" s="28"/>
    </row>
    <row r="274" spans="1:7" ht="15.75">
      <c r="A274" s="37"/>
      <c r="B274" s="133"/>
      <c r="C274" s="90" t="s">
        <v>150</v>
      </c>
      <c r="D274" s="22">
        <v>10500</v>
      </c>
      <c r="E274" s="11">
        <v>4363</v>
      </c>
      <c r="F274" s="9">
        <f t="shared" si="4"/>
        <v>0.4155238095238095</v>
      </c>
      <c r="G274" s="28"/>
    </row>
    <row r="275" spans="1:7" ht="15.75">
      <c r="A275" s="37"/>
      <c r="B275" s="133"/>
      <c r="C275" s="80" t="s">
        <v>107</v>
      </c>
      <c r="D275" s="22">
        <v>10000</v>
      </c>
      <c r="E275" s="11">
        <v>5840</v>
      </c>
      <c r="F275" s="9">
        <f t="shared" si="4"/>
        <v>0.584</v>
      </c>
      <c r="G275" s="28"/>
    </row>
    <row r="276" spans="1:7" ht="31.5">
      <c r="A276" s="37"/>
      <c r="B276" s="133"/>
      <c r="C276" s="80" t="s">
        <v>149</v>
      </c>
      <c r="D276" s="22">
        <f>D273-D274-D275</f>
        <v>18500</v>
      </c>
      <c r="E276" s="22">
        <f>E273-E274-E275</f>
        <v>4660.85</v>
      </c>
      <c r="F276" s="9">
        <f t="shared" si="4"/>
        <v>0.25193783783783785</v>
      </c>
      <c r="G276" s="28"/>
    </row>
    <row r="277" spans="1:7" ht="15.75">
      <c r="A277" s="2">
        <v>852</v>
      </c>
      <c r="B277" s="137"/>
      <c r="C277" s="132" t="s">
        <v>71</v>
      </c>
      <c r="D277" s="27">
        <f>D278+D292+D307+D312+D322+D328+D333+D339+D318</f>
        <v>27959759</v>
      </c>
      <c r="E277" s="27">
        <f>E278+E292+E307+E312+E322+E328+E333+E339+E318</f>
        <v>14097957.099999996</v>
      </c>
      <c r="F277" s="57">
        <f t="shared" si="4"/>
        <v>0.50422312652981</v>
      </c>
      <c r="G277" s="28"/>
    </row>
    <row r="278" spans="1:7" ht="15.75">
      <c r="A278" s="32"/>
      <c r="B278" s="138">
        <v>85201</v>
      </c>
      <c r="C278" s="132" t="s">
        <v>10</v>
      </c>
      <c r="D278" s="56">
        <f>D280+D284</f>
        <v>4277622</v>
      </c>
      <c r="E278" s="56">
        <f>E280+E284</f>
        <v>2216276.62</v>
      </c>
      <c r="F278" s="57">
        <f t="shared" si="4"/>
        <v>0.5181095057019999</v>
      </c>
      <c r="G278" s="28"/>
    </row>
    <row r="279" spans="1:7" ht="15.75">
      <c r="A279" s="33"/>
      <c r="B279" s="152"/>
      <c r="C279" s="79" t="s">
        <v>14</v>
      </c>
      <c r="D279" s="62"/>
      <c r="E279" s="63"/>
      <c r="F279" s="14"/>
      <c r="G279" s="28"/>
    </row>
    <row r="280" spans="1:7" ht="15.75">
      <c r="A280" s="33"/>
      <c r="B280" s="152"/>
      <c r="C280" s="80" t="s">
        <v>21</v>
      </c>
      <c r="D280" s="22">
        <v>4216132</v>
      </c>
      <c r="E280" s="11">
        <v>2203786.62</v>
      </c>
      <c r="F280" s="9">
        <f t="shared" si="4"/>
        <v>0.5227034210503846</v>
      </c>
      <c r="G280" s="28"/>
    </row>
    <row r="281" spans="1:7" ht="15.75">
      <c r="A281" s="33"/>
      <c r="B281" s="152"/>
      <c r="C281" s="80" t="s">
        <v>150</v>
      </c>
      <c r="D281" s="22">
        <v>2233333</v>
      </c>
      <c r="E281" s="11">
        <v>1178715.43</v>
      </c>
      <c r="F281" s="9">
        <f t="shared" si="4"/>
        <v>0.527783107131807</v>
      </c>
      <c r="G281" s="28"/>
    </row>
    <row r="282" spans="1:7" ht="15.75">
      <c r="A282" s="33"/>
      <c r="B282" s="152"/>
      <c r="C282" s="80" t="s">
        <v>107</v>
      </c>
      <c r="D282" s="22">
        <v>849306</v>
      </c>
      <c r="E282" s="11">
        <v>414823.41</v>
      </c>
      <c r="F282" s="9">
        <f t="shared" si="4"/>
        <v>0.48842632690690985</v>
      </c>
      <c r="G282" s="28"/>
    </row>
    <row r="283" spans="1:7" ht="31.5">
      <c r="A283" s="33"/>
      <c r="B283" s="152"/>
      <c r="C283" s="80" t="s">
        <v>149</v>
      </c>
      <c r="D283" s="22">
        <f>D280-D281-D282</f>
        <v>1133493</v>
      </c>
      <c r="E283" s="22">
        <f>E280-E281-E282</f>
        <v>610247.7800000003</v>
      </c>
      <c r="F283" s="9">
        <f t="shared" si="4"/>
        <v>0.5383780755593552</v>
      </c>
      <c r="G283" s="28"/>
    </row>
    <row r="284" spans="1:7" ht="15.75">
      <c r="A284" s="33"/>
      <c r="B284" s="152"/>
      <c r="C284" s="164" t="s">
        <v>23</v>
      </c>
      <c r="D284" s="26">
        <v>61490</v>
      </c>
      <c r="E284" s="18">
        <v>12490</v>
      </c>
      <c r="F284" s="9">
        <f t="shared" si="4"/>
        <v>0.20312245893641243</v>
      </c>
      <c r="G284" s="28"/>
    </row>
    <row r="285" spans="1:7" ht="15.75">
      <c r="A285" s="33"/>
      <c r="B285" s="152"/>
      <c r="C285" s="139" t="s">
        <v>24</v>
      </c>
      <c r="D285" s="111"/>
      <c r="E285" s="68"/>
      <c r="F285" s="9"/>
      <c r="G285" s="28"/>
    </row>
    <row r="286" spans="1:7" ht="15.75">
      <c r="A286" s="33"/>
      <c r="B286" s="152"/>
      <c r="C286" s="79" t="s">
        <v>72</v>
      </c>
      <c r="D286" s="69">
        <f>352558+1087309</f>
        <v>1439867</v>
      </c>
      <c r="E286" s="7">
        <v>773558.8</v>
      </c>
      <c r="F286" s="14">
        <f t="shared" si="4"/>
        <v>0.5372432314929088</v>
      </c>
      <c r="G286" s="28"/>
    </row>
    <row r="287" spans="1:7" ht="15.75">
      <c r="A287" s="33"/>
      <c r="B287" s="152"/>
      <c r="C287" s="90" t="s">
        <v>128</v>
      </c>
      <c r="D287" s="22">
        <f>410579+1078338</f>
        <v>1488917</v>
      </c>
      <c r="E287" s="11">
        <v>812539.97</v>
      </c>
      <c r="F287" s="9">
        <f t="shared" si="4"/>
        <v>0.5457254971230767</v>
      </c>
      <c r="G287" s="36">
        <f>E286+E287+E288+E289+E290</f>
        <v>2203786.62</v>
      </c>
    </row>
    <row r="288" spans="1:7" ht="15.75">
      <c r="A288" s="33"/>
      <c r="B288" s="152"/>
      <c r="C288" s="90" t="s">
        <v>69</v>
      </c>
      <c r="D288" s="22">
        <f>89783+67686</f>
        <v>157469</v>
      </c>
      <c r="E288" s="11">
        <v>79586.5</v>
      </c>
      <c r="F288" s="9">
        <f t="shared" si="4"/>
        <v>0.5054105887508017</v>
      </c>
      <c r="G288" s="28"/>
    </row>
    <row r="289" spans="1:7" ht="15.75">
      <c r="A289" s="33"/>
      <c r="B289" s="152"/>
      <c r="C289" s="80" t="s">
        <v>73</v>
      </c>
      <c r="D289" s="22">
        <f>280573</f>
        <v>280573</v>
      </c>
      <c r="E289" s="11">
        <v>123277.94</v>
      </c>
      <c r="F289" s="9">
        <f t="shared" si="4"/>
        <v>0.43937919899633965</v>
      </c>
      <c r="G289" s="28"/>
    </row>
    <row r="290" spans="1:7" ht="15.75">
      <c r="A290" s="37"/>
      <c r="B290" s="142"/>
      <c r="C290" s="90" t="s">
        <v>55</v>
      </c>
      <c r="D290" s="22">
        <v>849306</v>
      </c>
      <c r="E290" s="22">
        <v>414823.41</v>
      </c>
      <c r="F290" s="9">
        <f t="shared" si="4"/>
        <v>0.48842632690690985</v>
      </c>
      <c r="G290" s="28"/>
    </row>
    <row r="291" spans="1:7" ht="15.75">
      <c r="A291" s="37"/>
      <c r="B291" s="149"/>
      <c r="C291" s="161" t="s">
        <v>197</v>
      </c>
      <c r="D291" s="23">
        <v>61490</v>
      </c>
      <c r="E291" s="23">
        <v>12490</v>
      </c>
      <c r="F291" s="9">
        <f t="shared" si="4"/>
        <v>0.20312245893641243</v>
      </c>
      <c r="G291" s="28"/>
    </row>
    <row r="292" spans="1:7" ht="15.75">
      <c r="A292" s="37"/>
      <c r="B292" s="162">
        <v>85202</v>
      </c>
      <c r="C292" s="135" t="s">
        <v>11</v>
      </c>
      <c r="D292" s="72">
        <f>D294+D298</f>
        <v>17429242</v>
      </c>
      <c r="E292" s="72">
        <f>E294+E298</f>
        <v>8867651.08</v>
      </c>
      <c r="F292" s="60">
        <f t="shared" si="4"/>
        <v>0.5087800766091836</v>
      </c>
      <c r="G292" s="28"/>
    </row>
    <row r="293" spans="1:7" ht="15.75">
      <c r="A293" s="37"/>
      <c r="B293" s="142"/>
      <c r="C293" s="79" t="s">
        <v>14</v>
      </c>
      <c r="D293" s="62"/>
      <c r="E293" s="63"/>
      <c r="F293" s="14"/>
      <c r="G293" s="28"/>
    </row>
    <row r="294" spans="1:7" ht="15.75">
      <c r="A294" s="37"/>
      <c r="B294" s="142"/>
      <c r="C294" s="80" t="s">
        <v>21</v>
      </c>
      <c r="D294" s="22">
        <v>17396442</v>
      </c>
      <c r="E294" s="11">
        <v>8867651.08</v>
      </c>
      <c r="F294" s="9">
        <f t="shared" si="4"/>
        <v>0.5097393524491962</v>
      </c>
      <c r="G294" s="28"/>
    </row>
    <row r="295" spans="1:7" ht="15.75">
      <c r="A295" s="37"/>
      <c r="B295" s="142"/>
      <c r="C295" s="80" t="s">
        <v>150</v>
      </c>
      <c r="D295" s="22">
        <v>9192360</v>
      </c>
      <c r="E295" s="11">
        <v>4773993.15</v>
      </c>
      <c r="F295" s="9">
        <f t="shared" si="4"/>
        <v>0.5193435798859053</v>
      </c>
      <c r="G295" s="28"/>
    </row>
    <row r="296" spans="1:7" ht="15.75">
      <c r="A296" s="37"/>
      <c r="B296" s="142"/>
      <c r="C296" s="80" t="s">
        <v>107</v>
      </c>
      <c r="D296" s="22">
        <v>4121208</v>
      </c>
      <c r="E296" s="11">
        <v>1935414</v>
      </c>
      <c r="F296" s="9">
        <f t="shared" si="4"/>
        <v>0.4696229843288667</v>
      </c>
      <c r="G296" s="28"/>
    </row>
    <row r="297" spans="1:7" ht="31.5">
      <c r="A297" s="37"/>
      <c r="B297" s="142"/>
      <c r="C297" s="80" t="s">
        <v>182</v>
      </c>
      <c r="D297" s="22">
        <f>D294-D295-D296</f>
        <v>4082874</v>
      </c>
      <c r="E297" s="22">
        <f>E294-E295-E296</f>
        <v>2158243.9299999997</v>
      </c>
      <c r="F297" s="9">
        <f t="shared" si="4"/>
        <v>0.5286089969957436</v>
      </c>
      <c r="G297" s="28"/>
    </row>
    <row r="298" spans="1:7" ht="15.75">
      <c r="A298" s="37"/>
      <c r="B298" s="142"/>
      <c r="C298" s="80" t="s">
        <v>23</v>
      </c>
      <c r="D298" s="22">
        <v>32800</v>
      </c>
      <c r="E298" s="11">
        <v>0</v>
      </c>
      <c r="F298" s="9">
        <f t="shared" si="4"/>
        <v>0</v>
      </c>
      <c r="G298" s="28"/>
    </row>
    <row r="299" spans="1:7" ht="15.75">
      <c r="A299" s="37"/>
      <c r="B299" s="142"/>
      <c r="C299" s="139" t="s">
        <v>24</v>
      </c>
      <c r="D299" s="68"/>
      <c r="E299" s="68"/>
      <c r="F299" s="16"/>
      <c r="G299" s="28"/>
    </row>
    <row r="300" spans="1:7" ht="15.75">
      <c r="A300" s="37"/>
      <c r="B300" s="142"/>
      <c r="C300" s="79" t="s">
        <v>74</v>
      </c>
      <c r="D300" s="69">
        <f>983801+1370542</f>
        <v>2354343</v>
      </c>
      <c r="E300" s="7">
        <v>1099169.41</v>
      </c>
      <c r="F300" s="14">
        <f aca="true" t="shared" si="5" ref="F300:F389">E300/D300</f>
        <v>0.46686885046061677</v>
      </c>
      <c r="G300" s="36">
        <f>D300+D301+D302+D303+D304</f>
        <v>17429242</v>
      </c>
    </row>
    <row r="301" spans="1:7" ht="15.75">
      <c r="A301" s="37"/>
      <c r="B301" s="142"/>
      <c r="C301" s="80" t="s">
        <v>75</v>
      </c>
      <c r="D301" s="22">
        <f>271103+885552</f>
        <v>1156655</v>
      </c>
      <c r="E301" s="11">
        <v>597489.71</v>
      </c>
      <c r="F301" s="9">
        <f t="shared" si="5"/>
        <v>0.5165669192628743</v>
      </c>
      <c r="G301" s="36">
        <f>SUM(E300:E304)</f>
        <v>8867651.08</v>
      </c>
    </row>
    <row r="302" spans="1:7" ht="15.75">
      <c r="A302" s="37"/>
      <c r="B302" s="142"/>
      <c r="C302" s="80" t="s">
        <v>76</v>
      </c>
      <c r="D302" s="22">
        <f>1573134+3609837+22800</f>
        <v>5205771</v>
      </c>
      <c r="E302" s="11">
        <v>2759202.83</v>
      </c>
      <c r="F302" s="9">
        <f t="shared" si="5"/>
        <v>0.5300277000275272</v>
      </c>
      <c r="G302" s="28"/>
    </row>
    <row r="303" spans="1:7" ht="15.75">
      <c r="A303" s="37"/>
      <c r="B303" s="142"/>
      <c r="C303" s="80" t="s">
        <v>70</v>
      </c>
      <c r="D303" s="22">
        <f>1254836+3326429</f>
        <v>4581265</v>
      </c>
      <c r="E303" s="11">
        <v>2476375.13</v>
      </c>
      <c r="F303" s="9">
        <f t="shared" si="5"/>
        <v>0.5405439611111778</v>
      </c>
      <c r="G303" s="28"/>
    </row>
    <row r="304" spans="1:7" ht="15.75">
      <c r="A304" s="37"/>
      <c r="B304" s="142"/>
      <c r="C304" s="90" t="s">
        <v>124</v>
      </c>
      <c r="D304" s="22">
        <f>SUM(D305:D306)</f>
        <v>4131208</v>
      </c>
      <c r="E304" s="22">
        <f>SUM(E305:E305)</f>
        <v>1935414</v>
      </c>
      <c r="F304" s="9">
        <f t="shared" si="5"/>
        <v>0.46848621516999384</v>
      </c>
      <c r="G304" s="28"/>
    </row>
    <row r="305" spans="1:7" ht="15.75">
      <c r="A305" s="37"/>
      <c r="B305" s="142"/>
      <c r="C305" s="163" t="s">
        <v>120</v>
      </c>
      <c r="D305" s="26">
        <f>D296</f>
        <v>4121208</v>
      </c>
      <c r="E305" s="26">
        <f>E296</f>
        <v>1935414</v>
      </c>
      <c r="F305" s="19">
        <f t="shared" si="5"/>
        <v>0.4696229843288667</v>
      </c>
      <c r="G305" s="28"/>
    </row>
    <row r="306" spans="1:7" ht="15.75">
      <c r="A306" s="37"/>
      <c r="B306" s="142"/>
      <c r="C306" s="163" t="s">
        <v>121</v>
      </c>
      <c r="D306" s="59">
        <v>10000</v>
      </c>
      <c r="E306" s="59">
        <v>0</v>
      </c>
      <c r="F306" s="19">
        <f t="shared" si="5"/>
        <v>0</v>
      </c>
      <c r="G306" s="28"/>
    </row>
    <row r="307" spans="1:7" ht="15.75">
      <c r="A307" s="37"/>
      <c r="B307" s="158">
        <v>85203</v>
      </c>
      <c r="C307" s="159" t="s">
        <v>127</v>
      </c>
      <c r="D307" s="94">
        <f>D309</f>
        <v>438800</v>
      </c>
      <c r="E307" s="94">
        <f>E309</f>
        <v>244392.79</v>
      </c>
      <c r="F307" s="57">
        <f t="shared" si="5"/>
        <v>0.5569571330902462</v>
      </c>
      <c r="G307" s="28"/>
    </row>
    <row r="308" spans="1:7" ht="15.75">
      <c r="A308" s="37"/>
      <c r="B308" s="142"/>
      <c r="C308" s="144" t="s">
        <v>14</v>
      </c>
      <c r="D308" s="74"/>
      <c r="E308" s="74"/>
      <c r="F308" s="60"/>
      <c r="G308" s="28"/>
    </row>
    <row r="309" spans="1:7" ht="15.75">
      <c r="A309" s="37"/>
      <c r="B309" s="142"/>
      <c r="C309" s="80" t="s">
        <v>138</v>
      </c>
      <c r="D309" s="76">
        <f>D310+D311</f>
        <v>438800</v>
      </c>
      <c r="E309" s="76">
        <f>E310+E311</f>
        <v>244392.79</v>
      </c>
      <c r="F309" s="61">
        <f t="shared" si="5"/>
        <v>0.5569571330902462</v>
      </c>
      <c r="G309" s="28"/>
    </row>
    <row r="310" spans="1:7" ht="15.75">
      <c r="A310" s="37"/>
      <c r="B310" s="142"/>
      <c r="C310" s="80" t="s">
        <v>107</v>
      </c>
      <c r="D310" s="76">
        <v>388800</v>
      </c>
      <c r="E310" s="76">
        <v>194400</v>
      </c>
      <c r="F310" s="61">
        <f t="shared" si="5"/>
        <v>0.5</v>
      </c>
      <c r="G310" s="28"/>
    </row>
    <row r="311" spans="1:7" ht="31.5">
      <c r="A311" s="37"/>
      <c r="B311" s="149"/>
      <c r="C311" s="134" t="s">
        <v>182</v>
      </c>
      <c r="D311" s="88">
        <v>50000</v>
      </c>
      <c r="E311" s="88">
        <v>49992.79</v>
      </c>
      <c r="F311" s="100">
        <f t="shared" si="5"/>
        <v>0.9998558000000001</v>
      </c>
      <c r="G311" s="28"/>
    </row>
    <row r="312" spans="1:7" ht="15.75">
      <c r="A312" s="37"/>
      <c r="B312" s="192">
        <v>85204</v>
      </c>
      <c r="C312" s="135" t="s">
        <v>77</v>
      </c>
      <c r="D312" s="72">
        <f>D314</f>
        <v>4017179</v>
      </c>
      <c r="E312" s="72">
        <f>E314</f>
        <v>1963775.77</v>
      </c>
      <c r="F312" s="60">
        <f t="shared" si="5"/>
        <v>0.488844477679486</v>
      </c>
      <c r="G312" s="28"/>
    </row>
    <row r="313" spans="1:7" ht="15.75">
      <c r="A313" s="37"/>
      <c r="B313" s="192"/>
      <c r="C313" s="79" t="s">
        <v>14</v>
      </c>
      <c r="D313" s="62"/>
      <c r="E313" s="63"/>
      <c r="F313" s="14"/>
      <c r="G313" s="28"/>
    </row>
    <row r="314" spans="1:7" ht="15.75">
      <c r="A314" s="37"/>
      <c r="B314" s="192"/>
      <c r="C314" s="80" t="s">
        <v>15</v>
      </c>
      <c r="D314" s="22">
        <v>4017179</v>
      </c>
      <c r="E314" s="11">
        <v>1963775.77</v>
      </c>
      <c r="F314" s="9">
        <f t="shared" si="5"/>
        <v>0.488844477679486</v>
      </c>
      <c r="G314" s="28"/>
    </row>
    <row r="315" spans="1:7" ht="15.75">
      <c r="A315" s="37"/>
      <c r="B315" s="192"/>
      <c r="C315" s="80" t="s">
        <v>164</v>
      </c>
      <c r="D315" s="22">
        <v>181906</v>
      </c>
      <c r="E315" s="11">
        <v>87107.84</v>
      </c>
      <c r="F315" s="9">
        <f t="shared" si="5"/>
        <v>0.47886182973623737</v>
      </c>
      <c r="G315" s="28"/>
    </row>
    <row r="316" spans="1:7" ht="15.75">
      <c r="A316" s="37"/>
      <c r="B316" s="192"/>
      <c r="C316" s="80" t="s">
        <v>107</v>
      </c>
      <c r="D316" s="22">
        <v>245000</v>
      </c>
      <c r="E316" s="11">
        <v>143573.34</v>
      </c>
      <c r="F316" s="9">
        <f t="shared" si="5"/>
        <v>0.5860136326530612</v>
      </c>
      <c r="G316" s="28"/>
    </row>
    <row r="317" spans="1:7" ht="31.5">
      <c r="A317" s="37"/>
      <c r="B317" s="193"/>
      <c r="C317" s="80" t="s">
        <v>149</v>
      </c>
      <c r="D317" s="23">
        <f>D314-D315-D316</f>
        <v>3590273</v>
      </c>
      <c r="E317" s="23">
        <f>E314-E315-E316</f>
        <v>1733094.5899999999</v>
      </c>
      <c r="F317" s="16">
        <f t="shared" si="5"/>
        <v>0.48271944501156316</v>
      </c>
      <c r="G317" s="28"/>
    </row>
    <row r="318" spans="1:7" ht="15.75">
      <c r="A318" s="37"/>
      <c r="B318" s="191">
        <v>85205</v>
      </c>
      <c r="C318" s="132" t="s">
        <v>148</v>
      </c>
      <c r="D318" s="56">
        <f>D320</f>
        <v>15000</v>
      </c>
      <c r="E318" s="56">
        <f>E320</f>
        <v>7500</v>
      </c>
      <c r="F318" s="57">
        <f>E318/D318</f>
        <v>0.5</v>
      </c>
      <c r="G318" s="28"/>
    </row>
    <row r="319" spans="1:7" ht="15.75">
      <c r="A319" s="37"/>
      <c r="B319" s="192"/>
      <c r="C319" s="79" t="s">
        <v>14</v>
      </c>
      <c r="D319" s="62"/>
      <c r="E319" s="63"/>
      <c r="F319" s="14"/>
      <c r="G319" s="28"/>
    </row>
    <row r="320" spans="1:7" ht="15.75">
      <c r="A320" s="37"/>
      <c r="B320" s="192"/>
      <c r="C320" s="80" t="s">
        <v>177</v>
      </c>
      <c r="D320" s="22">
        <f>D321</f>
        <v>15000</v>
      </c>
      <c r="E320" s="22">
        <v>7500</v>
      </c>
      <c r="F320" s="9">
        <f>E320/D320</f>
        <v>0.5</v>
      </c>
      <c r="G320" s="28"/>
    </row>
    <row r="321" spans="1:7" ht="15.75">
      <c r="A321" s="37"/>
      <c r="B321" s="193"/>
      <c r="C321" s="134" t="s">
        <v>107</v>
      </c>
      <c r="D321" s="23">
        <v>15000</v>
      </c>
      <c r="E321" s="12">
        <v>7500</v>
      </c>
      <c r="F321" s="16">
        <f>E321/D321</f>
        <v>0.5</v>
      </c>
      <c r="G321" s="28"/>
    </row>
    <row r="322" spans="1:7" ht="15.75">
      <c r="A322" s="37"/>
      <c r="B322" s="133">
        <v>85218</v>
      </c>
      <c r="C322" s="135" t="s">
        <v>78</v>
      </c>
      <c r="D322" s="72">
        <f>D324+D327</f>
        <v>778756</v>
      </c>
      <c r="E322" s="72">
        <f>E324+E327</f>
        <v>395208.12</v>
      </c>
      <c r="F322" s="60">
        <f t="shared" si="5"/>
        <v>0.507486452752852</v>
      </c>
      <c r="G322" s="28"/>
    </row>
    <row r="323" spans="1:7" ht="15.75">
      <c r="A323" s="37"/>
      <c r="B323" s="133"/>
      <c r="C323" s="79" t="s">
        <v>14</v>
      </c>
      <c r="D323" s="62"/>
      <c r="E323" s="63"/>
      <c r="F323" s="14"/>
      <c r="G323" s="28"/>
    </row>
    <row r="324" spans="1:7" ht="15.75">
      <c r="A324" s="37"/>
      <c r="B324" s="133"/>
      <c r="C324" s="80" t="s">
        <v>21</v>
      </c>
      <c r="D324" s="22">
        <v>774256</v>
      </c>
      <c r="E324" s="11">
        <v>390718.13</v>
      </c>
      <c r="F324" s="9">
        <f t="shared" si="5"/>
        <v>0.5046368772085719</v>
      </c>
      <c r="G324" s="28"/>
    </row>
    <row r="325" spans="1:7" ht="15.75">
      <c r="A325" s="37"/>
      <c r="B325" s="133"/>
      <c r="C325" s="80" t="s">
        <v>150</v>
      </c>
      <c r="D325" s="22">
        <v>615544</v>
      </c>
      <c r="E325" s="11">
        <v>309799.77</v>
      </c>
      <c r="F325" s="9">
        <f t="shared" si="5"/>
        <v>0.5032942730332844</v>
      </c>
      <c r="G325" s="28"/>
    </row>
    <row r="326" spans="1:7" ht="31.5">
      <c r="A326" s="37"/>
      <c r="B326" s="133"/>
      <c r="C326" s="80" t="s">
        <v>149</v>
      </c>
      <c r="D326" s="22">
        <f>D324-D325</f>
        <v>158712</v>
      </c>
      <c r="E326" s="22">
        <f>E324-E325</f>
        <v>80918.35999999999</v>
      </c>
      <c r="F326" s="9">
        <f t="shared" si="5"/>
        <v>0.509843994152931</v>
      </c>
      <c r="G326" s="28"/>
    </row>
    <row r="327" spans="1:7" ht="15.75">
      <c r="A327" s="37"/>
      <c r="B327" s="140"/>
      <c r="C327" s="134" t="s">
        <v>23</v>
      </c>
      <c r="D327" s="23">
        <v>4500</v>
      </c>
      <c r="E327" s="23">
        <v>4489.99</v>
      </c>
      <c r="F327" s="16">
        <f t="shared" si="5"/>
        <v>0.9977755555555555</v>
      </c>
      <c r="G327" s="28"/>
    </row>
    <row r="328" spans="1:7" ht="15.75">
      <c r="A328" s="37"/>
      <c r="B328" s="133">
        <v>85226</v>
      </c>
      <c r="C328" s="135" t="s">
        <v>115</v>
      </c>
      <c r="D328" s="72">
        <f>D330</f>
        <v>78237</v>
      </c>
      <c r="E328" s="72">
        <f>E330</f>
        <v>50331.7</v>
      </c>
      <c r="F328" s="60">
        <f t="shared" si="5"/>
        <v>0.6433234914426678</v>
      </c>
      <c r="G328" s="28"/>
    </row>
    <row r="329" spans="1:7" ht="15.75">
      <c r="A329" s="37"/>
      <c r="B329" s="133"/>
      <c r="C329" s="144" t="s">
        <v>14</v>
      </c>
      <c r="D329" s="59"/>
      <c r="E329" s="181"/>
      <c r="F329" s="5"/>
      <c r="G329" s="28"/>
    </row>
    <row r="330" spans="1:7" ht="15.75">
      <c r="A330" s="37"/>
      <c r="B330" s="133"/>
      <c r="C330" s="80" t="s">
        <v>21</v>
      </c>
      <c r="D330" s="22">
        <f>D331+D332</f>
        <v>78237</v>
      </c>
      <c r="E330" s="22">
        <v>50331.7</v>
      </c>
      <c r="F330" s="9">
        <f t="shared" si="5"/>
        <v>0.6433234914426678</v>
      </c>
      <c r="G330" s="28"/>
    </row>
    <row r="331" spans="1:7" ht="15.75">
      <c r="A331" s="37"/>
      <c r="B331" s="133"/>
      <c r="C331" s="80" t="s">
        <v>107</v>
      </c>
      <c r="D331" s="22">
        <v>77596</v>
      </c>
      <c r="E331" s="22">
        <v>49691.51</v>
      </c>
      <c r="F331" s="9">
        <f t="shared" si="5"/>
        <v>0.6403875199752564</v>
      </c>
      <c r="G331" s="28"/>
    </row>
    <row r="332" spans="1:7" ht="31.5">
      <c r="A332" s="37"/>
      <c r="B332" s="140"/>
      <c r="C332" s="80" t="s">
        <v>149</v>
      </c>
      <c r="D332" s="59">
        <v>641</v>
      </c>
      <c r="E332" s="59">
        <v>640.19</v>
      </c>
      <c r="F332" s="9">
        <f t="shared" si="5"/>
        <v>0.9987363494539783</v>
      </c>
      <c r="G332" s="28"/>
    </row>
    <row r="333" spans="1:7" ht="15.75">
      <c r="A333" s="37"/>
      <c r="B333" s="138">
        <v>85233</v>
      </c>
      <c r="C333" s="132" t="s">
        <v>82</v>
      </c>
      <c r="D333" s="56">
        <f>D335</f>
        <v>5500</v>
      </c>
      <c r="E333" s="56">
        <f>E335</f>
        <v>820</v>
      </c>
      <c r="F333" s="57">
        <f t="shared" si="5"/>
        <v>0.14909090909090908</v>
      </c>
      <c r="G333" s="28"/>
    </row>
    <row r="334" spans="1:7" ht="15.75">
      <c r="A334" s="37"/>
      <c r="B334" s="133"/>
      <c r="C334" s="79" t="s">
        <v>14</v>
      </c>
      <c r="D334" s="69"/>
      <c r="E334" s="17"/>
      <c r="F334" s="14"/>
      <c r="G334" s="28"/>
    </row>
    <row r="335" spans="1:7" ht="31.5">
      <c r="A335" s="37"/>
      <c r="B335" s="133"/>
      <c r="C335" s="80" t="s">
        <v>167</v>
      </c>
      <c r="D335" s="22">
        <v>5500</v>
      </c>
      <c r="E335" s="22">
        <v>820</v>
      </c>
      <c r="F335" s="9">
        <f t="shared" si="5"/>
        <v>0.14909090909090908</v>
      </c>
      <c r="G335" s="28"/>
    </row>
    <row r="336" spans="1:7" ht="15.75">
      <c r="A336" s="37"/>
      <c r="B336" s="133"/>
      <c r="C336" s="139" t="s">
        <v>24</v>
      </c>
      <c r="D336" s="23"/>
      <c r="E336" s="23"/>
      <c r="F336" s="16"/>
      <c r="G336" s="28"/>
    </row>
    <row r="337" spans="1:7" ht="15.75">
      <c r="A337" s="37"/>
      <c r="B337" s="133"/>
      <c r="C337" s="80" t="s">
        <v>68</v>
      </c>
      <c r="D337" s="25">
        <v>2000</v>
      </c>
      <c r="E337" s="25">
        <v>0</v>
      </c>
      <c r="F337" s="8">
        <f t="shared" si="5"/>
        <v>0</v>
      </c>
      <c r="G337" s="28"/>
    </row>
    <row r="338" spans="1:7" ht="15.75">
      <c r="A338" s="37"/>
      <c r="B338" s="140"/>
      <c r="C338" s="161" t="s">
        <v>128</v>
      </c>
      <c r="D338" s="106">
        <v>3500</v>
      </c>
      <c r="E338" s="106">
        <v>820</v>
      </c>
      <c r="F338" s="16">
        <f t="shared" si="5"/>
        <v>0.2342857142857143</v>
      </c>
      <c r="G338" s="28"/>
    </row>
    <row r="339" spans="1:7" ht="15.75">
      <c r="A339" s="39"/>
      <c r="B339" s="133">
        <v>85295</v>
      </c>
      <c r="C339" s="135" t="s">
        <v>29</v>
      </c>
      <c r="D339" s="72">
        <f>D341</f>
        <v>919423</v>
      </c>
      <c r="E339" s="72">
        <f>E341</f>
        <v>352001.02</v>
      </c>
      <c r="F339" s="60">
        <f t="shared" si="5"/>
        <v>0.3828499178288992</v>
      </c>
      <c r="G339" s="28"/>
    </row>
    <row r="340" spans="1:7" ht="15.75">
      <c r="A340" s="39"/>
      <c r="B340" s="152"/>
      <c r="C340" s="79" t="s">
        <v>14</v>
      </c>
      <c r="D340" s="62"/>
      <c r="E340" s="63"/>
      <c r="F340" s="14"/>
      <c r="G340" s="28"/>
    </row>
    <row r="341" spans="1:7" ht="15.75">
      <c r="A341" s="39"/>
      <c r="B341" s="152"/>
      <c r="C341" s="80" t="s">
        <v>21</v>
      </c>
      <c r="D341" s="22">
        <v>919423</v>
      </c>
      <c r="E341" s="11">
        <v>352001.02</v>
      </c>
      <c r="F341" s="9">
        <f t="shared" si="5"/>
        <v>0.3828499178288992</v>
      </c>
      <c r="G341" s="28"/>
    </row>
    <row r="342" spans="1:7" ht="15.75">
      <c r="A342" s="39"/>
      <c r="B342" s="152"/>
      <c r="C342" s="80" t="s">
        <v>156</v>
      </c>
      <c r="D342" s="22">
        <v>941</v>
      </c>
      <c r="E342" s="11"/>
      <c r="F342" s="9">
        <f>E342/D342</f>
        <v>0</v>
      </c>
      <c r="G342" s="28"/>
    </row>
    <row r="343" spans="1:7" ht="15.75">
      <c r="A343" s="39"/>
      <c r="B343" s="152"/>
      <c r="C343" s="80" t="s">
        <v>107</v>
      </c>
      <c r="D343" s="22">
        <v>44650</v>
      </c>
      <c r="E343" s="11">
        <v>44650</v>
      </c>
      <c r="F343" s="9">
        <f t="shared" si="5"/>
        <v>1</v>
      </c>
      <c r="G343" s="28"/>
    </row>
    <row r="344" spans="1:7" ht="31.5">
      <c r="A344" s="39"/>
      <c r="B344" s="152"/>
      <c r="C344" s="80" t="s">
        <v>149</v>
      </c>
      <c r="D344" s="26">
        <f>41138+90886</f>
        <v>132024</v>
      </c>
      <c r="E344" s="26">
        <f>E341-E343-E345</f>
        <v>125879.07</v>
      </c>
      <c r="F344" s="9">
        <f t="shared" si="5"/>
        <v>0.9534559625522633</v>
      </c>
      <c r="G344" s="28"/>
    </row>
    <row r="345" spans="1:7" ht="31.5">
      <c r="A345" s="39"/>
      <c r="B345" s="152"/>
      <c r="C345" s="144" t="s">
        <v>170</v>
      </c>
      <c r="D345" s="26">
        <f>D346+D347</f>
        <v>741808</v>
      </c>
      <c r="E345" s="26">
        <f>E346+E347</f>
        <v>181471.95</v>
      </c>
      <c r="F345" s="9">
        <f t="shared" si="5"/>
        <v>0.24463466287772578</v>
      </c>
      <c r="G345" s="28"/>
    </row>
    <row r="346" spans="1:7" ht="15.75">
      <c r="A346" s="39"/>
      <c r="B346" s="152"/>
      <c r="C346" s="79" t="s">
        <v>150</v>
      </c>
      <c r="D346" s="22">
        <v>223427</v>
      </c>
      <c r="E346" s="11">
        <v>104930.85</v>
      </c>
      <c r="F346" s="9">
        <f t="shared" si="5"/>
        <v>0.4696426573332677</v>
      </c>
      <c r="G346" s="28"/>
    </row>
    <row r="347" spans="1:7" ht="15.75">
      <c r="A347" s="39"/>
      <c r="B347" s="152"/>
      <c r="C347" s="134" t="s">
        <v>171</v>
      </c>
      <c r="D347" s="23">
        <v>518381</v>
      </c>
      <c r="E347" s="12">
        <v>76541.1</v>
      </c>
      <c r="F347" s="16">
        <f t="shared" si="5"/>
        <v>0.14765413855831908</v>
      </c>
      <c r="G347" s="28"/>
    </row>
    <row r="348" spans="1:7" ht="15.75">
      <c r="A348" s="39"/>
      <c r="B348" s="152"/>
      <c r="C348" s="139" t="s">
        <v>24</v>
      </c>
      <c r="D348" s="111"/>
      <c r="E348" s="68"/>
      <c r="F348" s="16"/>
      <c r="G348" s="28"/>
    </row>
    <row r="349" spans="1:7" ht="15.75">
      <c r="A349" s="39"/>
      <c r="B349" s="152"/>
      <c r="C349" s="79" t="s">
        <v>66</v>
      </c>
      <c r="D349" s="69">
        <f>550717+224368</f>
        <v>775085</v>
      </c>
      <c r="E349" s="7">
        <v>208614.35</v>
      </c>
      <c r="F349" s="14">
        <f t="shared" si="5"/>
        <v>0.2691502867427443</v>
      </c>
      <c r="G349" s="28"/>
    </row>
    <row r="350" spans="1:7" ht="15.75">
      <c r="A350" s="39"/>
      <c r="B350" s="152"/>
      <c r="C350" s="80" t="s">
        <v>68</v>
      </c>
      <c r="D350" s="22">
        <v>4996</v>
      </c>
      <c r="E350" s="11">
        <v>4996</v>
      </c>
      <c r="F350" s="9">
        <f t="shared" si="5"/>
        <v>1</v>
      </c>
      <c r="G350" s="36">
        <f>E349+E351+E352</f>
        <v>347005.02</v>
      </c>
    </row>
    <row r="351" spans="1:7" ht="15.75">
      <c r="A351" s="39"/>
      <c r="B351" s="152"/>
      <c r="C351" s="90" t="s">
        <v>128</v>
      </c>
      <c r="D351" s="22">
        <v>3806</v>
      </c>
      <c r="E351" s="11">
        <v>2855</v>
      </c>
      <c r="F351" s="9">
        <f t="shared" si="5"/>
        <v>0.7501313715186547</v>
      </c>
      <c r="G351" s="28"/>
    </row>
    <row r="352" spans="1:7" ht="15.75">
      <c r="A352" s="39"/>
      <c r="B352" s="152"/>
      <c r="C352" s="90" t="s">
        <v>124</v>
      </c>
      <c r="D352" s="22">
        <f>SUM(D353:D354)</f>
        <v>135536</v>
      </c>
      <c r="E352" s="22">
        <f>SUM(E353:E354)</f>
        <v>135535.66999999998</v>
      </c>
      <c r="F352" s="9">
        <f t="shared" si="5"/>
        <v>0.9999975652225238</v>
      </c>
      <c r="G352" s="28"/>
    </row>
    <row r="353" spans="1:7" ht="15.75">
      <c r="A353" s="39"/>
      <c r="B353" s="152"/>
      <c r="C353" s="151" t="s">
        <v>120</v>
      </c>
      <c r="D353" s="22">
        <v>44650</v>
      </c>
      <c r="E353" s="22">
        <v>44650</v>
      </c>
      <c r="F353" s="9">
        <f t="shared" si="5"/>
        <v>1</v>
      </c>
      <c r="G353" s="28"/>
    </row>
    <row r="354" spans="1:7" ht="15.75">
      <c r="A354" s="39"/>
      <c r="B354" s="182"/>
      <c r="C354" s="155" t="s">
        <v>175</v>
      </c>
      <c r="D354" s="23">
        <v>90886</v>
      </c>
      <c r="E354" s="23">
        <v>90885.67</v>
      </c>
      <c r="F354" s="9">
        <f t="shared" si="5"/>
        <v>0.9999963690777457</v>
      </c>
      <c r="G354" s="28"/>
    </row>
    <row r="355" spans="1:7" ht="15.75">
      <c r="A355" s="2">
        <v>853</v>
      </c>
      <c r="B355" s="137"/>
      <c r="C355" s="132" t="s">
        <v>79</v>
      </c>
      <c r="D355" s="27">
        <f>D356+D361+D366+D372</f>
        <v>3100183</v>
      </c>
      <c r="E355" s="27">
        <f>E356+E361+E366+E372</f>
        <v>1559347.9</v>
      </c>
      <c r="F355" s="57">
        <f t="shared" si="5"/>
        <v>0.5029857592277617</v>
      </c>
      <c r="G355" s="28"/>
    </row>
    <row r="356" spans="1:7" ht="31.5">
      <c r="A356" s="32"/>
      <c r="B356" s="158">
        <v>85311</v>
      </c>
      <c r="C356" s="165" t="s">
        <v>116</v>
      </c>
      <c r="D356" s="96">
        <f>D358+D360</f>
        <v>187270</v>
      </c>
      <c r="E356" s="96">
        <f>E358+E360</f>
        <v>81878.56</v>
      </c>
      <c r="F356" s="97">
        <f t="shared" si="5"/>
        <v>0.4372219789608586</v>
      </c>
      <c r="G356" s="28"/>
    </row>
    <row r="357" spans="1:7" ht="15.75">
      <c r="A357" s="32"/>
      <c r="B357" s="166"/>
      <c r="C357" s="80" t="s">
        <v>14</v>
      </c>
      <c r="D357" s="98"/>
      <c r="E357" s="99"/>
      <c r="F357" s="61"/>
      <c r="G357" s="28"/>
    </row>
    <row r="358" spans="1:7" ht="15.75">
      <c r="A358" s="32"/>
      <c r="B358" s="166"/>
      <c r="C358" s="80" t="s">
        <v>21</v>
      </c>
      <c r="D358" s="22">
        <v>115080</v>
      </c>
      <c r="E358" s="22">
        <v>76958.56</v>
      </c>
      <c r="F358" s="9">
        <f t="shared" si="5"/>
        <v>0.6687396593673965</v>
      </c>
      <c r="G358" s="28"/>
    </row>
    <row r="359" spans="1:7" ht="15.75">
      <c r="A359" s="32"/>
      <c r="B359" s="166"/>
      <c r="C359" s="144" t="s">
        <v>150</v>
      </c>
      <c r="D359" s="59">
        <v>115080</v>
      </c>
      <c r="E359" s="59">
        <v>76958.56</v>
      </c>
      <c r="F359" s="9">
        <f t="shared" si="5"/>
        <v>0.6687396593673965</v>
      </c>
      <c r="G359" s="28"/>
    </row>
    <row r="360" spans="1:7" ht="15.75">
      <c r="A360" s="32"/>
      <c r="B360" s="166"/>
      <c r="C360" s="134" t="s">
        <v>23</v>
      </c>
      <c r="D360" s="23">
        <v>72190</v>
      </c>
      <c r="E360" s="23">
        <v>4920</v>
      </c>
      <c r="F360" s="9">
        <f t="shared" si="5"/>
        <v>0.06815348386203075</v>
      </c>
      <c r="G360" s="28"/>
    </row>
    <row r="361" spans="1:7" ht="15.75">
      <c r="A361" s="32"/>
      <c r="B361" s="138">
        <v>85321</v>
      </c>
      <c r="C361" s="132" t="s">
        <v>80</v>
      </c>
      <c r="D361" s="56">
        <f>D363</f>
        <v>179600</v>
      </c>
      <c r="E361" s="56">
        <f>E363</f>
        <v>104953.33</v>
      </c>
      <c r="F361" s="57">
        <f t="shared" si="5"/>
        <v>0.5843726614699332</v>
      </c>
      <c r="G361" s="28"/>
    </row>
    <row r="362" spans="1:7" ht="15.75">
      <c r="A362" s="32"/>
      <c r="B362" s="133"/>
      <c r="C362" s="79" t="s">
        <v>14</v>
      </c>
      <c r="D362" s="62"/>
      <c r="E362" s="63"/>
      <c r="F362" s="14"/>
      <c r="G362" s="28"/>
    </row>
    <row r="363" spans="1:7" ht="15.75">
      <c r="A363" s="32"/>
      <c r="B363" s="133"/>
      <c r="C363" s="80" t="s">
        <v>21</v>
      </c>
      <c r="D363" s="22">
        <v>179600</v>
      </c>
      <c r="E363" s="11">
        <v>104953.33</v>
      </c>
      <c r="F363" s="9">
        <f t="shared" si="5"/>
        <v>0.5843726614699332</v>
      </c>
      <c r="G363" s="28"/>
    </row>
    <row r="364" spans="1:7" ht="15.75">
      <c r="A364" s="32"/>
      <c r="B364" s="133"/>
      <c r="C364" s="80" t="s">
        <v>150</v>
      </c>
      <c r="D364" s="22">
        <v>131330</v>
      </c>
      <c r="E364" s="11">
        <v>70245.07</v>
      </c>
      <c r="F364" s="9">
        <f t="shared" si="5"/>
        <v>0.5348745145815884</v>
      </c>
      <c r="G364" s="28"/>
    </row>
    <row r="365" spans="1:7" ht="31.5">
      <c r="A365" s="32"/>
      <c r="B365" s="133"/>
      <c r="C365" s="120" t="s">
        <v>149</v>
      </c>
      <c r="D365" s="26">
        <f>D363-D364</f>
        <v>48270</v>
      </c>
      <c r="E365" s="26">
        <f>E363-E364</f>
        <v>34708.259999999995</v>
      </c>
      <c r="F365" s="19">
        <f t="shared" si="5"/>
        <v>0.7190441267868241</v>
      </c>
      <c r="G365" s="28"/>
    </row>
    <row r="366" spans="1:7" ht="15.75">
      <c r="A366" s="200"/>
      <c r="B366" s="191">
        <v>85333</v>
      </c>
      <c r="C366" s="132" t="s">
        <v>81</v>
      </c>
      <c r="D366" s="56">
        <f>D368+D371</f>
        <v>2398876</v>
      </c>
      <c r="E366" s="56">
        <f>E368+E371</f>
        <v>1215137.24</v>
      </c>
      <c r="F366" s="57">
        <f t="shared" si="5"/>
        <v>0.5065444149676765</v>
      </c>
      <c r="G366" s="28"/>
    </row>
    <row r="367" spans="1:7" ht="15.75">
      <c r="A367" s="200"/>
      <c r="B367" s="192"/>
      <c r="C367" s="79" t="s">
        <v>14</v>
      </c>
      <c r="D367" s="62"/>
      <c r="E367" s="63"/>
      <c r="F367" s="14"/>
      <c r="G367" s="28"/>
    </row>
    <row r="368" spans="1:7" ht="15.75">
      <c r="A368" s="200"/>
      <c r="B368" s="192"/>
      <c r="C368" s="80" t="s">
        <v>21</v>
      </c>
      <c r="D368" s="22">
        <v>2368076</v>
      </c>
      <c r="E368" s="11">
        <v>1187863.52</v>
      </c>
      <c r="F368" s="9">
        <f t="shared" si="5"/>
        <v>0.5016154549093864</v>
      </c>
      <c r="G368" s="28"/>
    </row>
    <row r="369" spans="1:7" ht="15.75">
      <c r="A369" s="200"/>
      <c r="B369" s="192"/>
      <c r="C369" s="80" t="s">
        <v>150</v>
      </c>
      <c r="D369" s="22">
        <v>2053544</v>
      </c>
      <c r="E369" s="11">
        <v>996634.1</v>
      </c>
      <c r="F369" s="9">
        <f t="shared" si="5"/>
        <v>0.4853239570225912</v>
      </c>
      <c r="G369" s="28"/>
    </row>
    <row r="370" spans="1:7" ht="31.5">
      <c r="A370" s="200"/>
      <c r="B370" s="192"/>
      <c r="C370" s="80" t="s">
        <v>149</v>
      </c>
      <c r="D370" s="26">
        <f>D368-D369</f>
        <v>314532</v>
      </c>
      <c r="E370" s="26">
        <f>E368-E369</f>
        <v>191229.42000000004</v>
      </c>
      <c r="F370" s="19">
        <f t="shared" si="5"/>
        <v>0.6079808095837627</v>
      </c>
      <c r="G370" s="28"/>
    </row>
    <row r="371" spans="1:7" ht="15.75">
      <c r="A371" s="37"/>
      <c r="B371" s="133"/>
      <c r="C371" s="80" t="s">
        <v>23</v>
      </c>
      <c r="D371" s="22">
        <v>30800</v>
      </c>
      <c r="E371" s="11">
        <v>27273.72</v>
      </c>
      <c r="F371" s="9">
        <f>E371/D371</f>
        <v>0.8855103896103896</v>
      </c>
      <c r="G371" s="28"/>
    </row>
    <row r="372" spans="1:7" ht="15.75">
      <c r="A372" s="37"/>
      <c r="B372" s="138">
        <v>85395</v>
      </c>
      <c r="C372" s="159" t="s">
        <v>29</v>
      </c>
      <c r="D372" s="94">
        <f>D374</f>
        <v>334437</v>
      </c>
      <c r="E372" s="94">
        <f>E374</f>
        <v>157378.77</v>
      </c>
      <c r="F372" s="57">
        <f t="shared" si="5"/>
        <v>0.47057822549538475</v>
      </c>
      <c r="G372" s="28"/>
    </row>
    <row r="373" spans="1:7" ht="15.75">
      <c r="A373" s="37"/>
      <c r="B373" s="133"/>
      <c r="C373" s="79" t="s">
        <v>14</v>
      </c>
      <c r="D373" s="77"/>
      <c r="E373" s="78"/>
      <c r="F373" s="64"/>
      <c r="G373" s="28"/>
    </row>
    <row r="374" spans="1:7" ht="15.75">
      <c r="A374" s="37"/>
      <c r="B374" s="133"/>
      <c r="C374" s="80" t="s">
        <v>21</v>
      </c>
      <c r="D374" s="76">
        <v>334437</v>
      </c>
      <c r="E374" s="76">
        <v>157378.77</v>
      </c>
      <c r="F374" s="9">
        <f t="shared" si="5"/>
        <v>0.47057822549538475</v>
      </c>
      <c r="G374" s="28"/>
    </row>
    <row r="375" spans="1:7" ht="31.5">
      <c r="A375" s="37"/>
      <c r="B375" s="162"/>
      <c r="C375" s="80" t="s">
        <v>170</v>
      </c>
      <c r="D375" s="76">
        <v>334437</v>
      </c>
      <c r="E375" s="184">
        <v>157378.77</v>
      </c>
      <c r="F375" s="9">
        <f t="shared" si="5"/>
        <v>0.47057822549538475</v>
      </c>
      <c r="G375" s="28"/>
    </row>
    <row r="376" spans="1:7" ht="15.75">
      <c r="A376" s="37"/>
      <c r="B376" s="162"/>
      <c r="C376" s="80" t="s">
        <v>150</v>
      </c>
      <c r="D376" s="76">
        <v>221679</v>
      </c>
      <c r="E376" s="76">
        <v>135849.51</v>
      </c>
      <c r="F376" s="9">
        <f t="shared" si="5"/>
        <v>0.6128208355324591</v>
      </c>
      <c r="G376" s="28"/>
    </row>
    <row r="377" spans="1:7" ht="15.75">
      <c r="A377" s="37"/>
      <c r="B377" s="162"/>
      <c r="C377" s="134" t="s">
        <v>171</v>
      </c>
      <c r="D377" s="88">
        <f>D375-D376</f>
        <v>112758</v>
      </c>
      <c r="E377" s="88">
        <f>E375-E376</f>
        <v>21529.25999999998</v>
      </c>
      <c r="F377" s="16">
        <f t="shared" si="5"/>
        <v>0.19093332623849288</v>
      </c>
      <c r="G377" s="28"/>
    </row>
    <row r="378" spans="1:7" ht="15.75">
      <c r="A378" s="201">
        <v>854</v>
      </c>
      <c r="B378" s="35"/>
      <c r="C378" s="71" t="s">
        <v>83</v>
      </c>
      <c r="D378" s="27">
        <f>D379+D389+D397+D404+D414+D437+D448+D454+D462+D386</f>
        <v>11816843</v>
      </c>
      <c r="E378" s="27">
        <f>E379+E389+E397+E404+E414+E437+E448+E454+E462+E386</f>
        <v>5883388.59</v>
      </c>
      <c r="F378" s="55">
        <f t="shared" si="5"/>
        <v>0.4978815907091259</v>
      </c>
      <c r="G378" s="28"/>
    </row>
    <row r="379" spans="1:8" ht="15.75">
      <c r="A379" s="201"/>
      <c r="B379" s="201">
        <v>85403</v>
      </c>
      <c r="C379" s="143" t="s">
        <v>84</v>
      </c>
      <c r="D379" s="27">
        <f>D381</f>
        <v>4394904</v>
      </c>
      <c r="E379" s="27">
        <f>E381</f>
        <v>2241344.83</v>
      </c>
      <c r="F379" s="55">
        <f t="shared" si="5"/>
        <v>0.5099872101870713</v>
      </c>
      <c r="G379" s="28"/>
      <c r="H379" s="1">
        <f>E382+E392+E400+E407+E440</f>
        <v>3160689.1700000004</v>
      </c>
    </row>
    <row r="380" spans="1:7" ht="15.75">
      <c r="A380" s="201"/>
      <c r="B380" s="201"/>
      <c r="C380" s="167" t="s">
        <v>14</v>
      </c>
      <c r="D380" s="126"/>
      <c r="E380" s="127"/>
      <c r="F380" s="8"/>
      <c r="G380" s="28"/>
    </row>
    <row r="381" spans="1:8" s="177" customFormat="1" ht="15.75">
      <c r="A381" s="201"/>
      <c r="B381" s="201"/>
      <c r="C381" s="80" t="s">
        <v>21</v>
      </c>
      <c r="D381" s="22">
        <v>4394904</v>
      </c>
      <c r="E381" s="11">
        <v>2241344.83</v>
      </c>
      <c r="F381" s="9">
        <f t="shared" si="5"/>
        <v>0.5099872101870713</v>
      </c>
      <c r="G381" s="176"/>
      <c r="H381" s="179">
        <f>E383+E393+E401+E409+E417+E442+E456+E467</f>
        <v>653132.3</v>
      </c>
    </row>
    <row r="382" spans="1:7" s="177" customFormat="1" ht="15.75">
      <c r="A382" s="201"/>
      <c r="B382" s="201"/>
      <c r="C382" s="80" t="s">
        <v>150</v>
      </c>
      <c r="D382" s="22">
        <v>3566638</v>
      </c>
      <c r="E382" s="11">
        <v>1910751.32</v>
      </c>
      <c r="F382" s="9">
        <f t="shared" si="5"/>
        <v>0.53572897501793</v>
      </c>
      <c r="G382" s="176"/>
    </row>
    <row r="383" spans="1:7" ht="31.5">
      <c r="A383" s="201"/>
      <c r="B383" s="201"/>
      <c r="C383" s="80" t="s">
        <v>149</v>
      </c>
      <c r="D383" s="23">
        <f>D381-D382</f>
        <v>828266</v>
      </c>
      <c r="E383" s="23">
        <f>E381-E382</f>
        <v>330593.51</v>
      </c>
      <c r="F383" s="16">
        <f t="shared" si="5"/>
        <v>0.3991392982447668</v>
      </c>
      <c r="G383" s="28"/>
    </row>
    <row r="384" spans="1:7" ht="15.75">
      <c r="A384" s="201"/>
      <c r="B384" s="201"/>
      <c r="C384" s="202" t="s">
        <v>85</v>
      </c>
      <c r="D384" s="203"/>
      <c r="E384" s="123"/>
      <c r="F384" s="124"/>
      <c r="G384" s="28"/>
    </row>
    <row r="385" spans="1:7" ht="15.75">
      <c r="A385" s="195"/>
      <c r="B385" s="201"/>
      <c r="C385" s="168" t="s">
        <v>86</v>
      </c>
      <c r="D385" s="125">
        <f>D381</f>
        <v>4394904</v>
      </c>
      <c r="E385" s="125">
        <f>E381</f>
        <v>2241344.83</v>
      </c>
      <c r="F385" s="124">
        <f t="shared" si="5"/>
        <v>0.5099872101870713</v>
      </c>
      <c r="G385" s="28"/>
    </row>
    <row r="386" spans="1:7" ht="15.75">
      <c r="A386" s="32"/>
      <c r="B386" s="32">
        <v>85404</v>
      </c>
      <c r="C386" s="135" t="s">
        <v>126</v>
      </c>
      <c r="D386" s="73">
        <f>D388</f>
        <v>232044</v>
      </c>
      <c r="E386" s="73">
        <f>E388</f>
        <v>109821.6</v>
      </c>
      <c r="F386" s="60">
        <f t="shared" si="5"/>
        <v>0.4732792056678906</v>
      </c>
      <c r="G386" s="28"/>
    </row>
    <row r="387" spans="1:7" ht="15.75">
      <c r="A387" s="32"/>
      <c r="B387" s="32"/>
      <c r="C387" s="144" t="s">
        <v>14</v>
      </c>
      <c r="D387" s="73"/>
      <c r="E387" s="101"/>
      <c r="F387" s="60"/>
      <c r="G387" s="28"/>
    </row>
    <row r="388" spans="1:7" ht="15.75">
      <c r="A388" s="32"/>
      <c r="B388" s="34"/>
      <c r="C388" s="134" t="s">
        <v>166</v>
      </c>
      <c r="D388" s="88">
        <v>232044</v>
      </c>
      <c r="E388" s="102">
        <v>109821.6</v>
      </c>
      <c r="F388" s="16">
        <f t="shared" si="5"/>
        <v>0.4732792056678906</v>
      </c>
      <c r="G388" s="28"/>
    </row>
    <row r="389" spans="1:7" ht="15.75">
      <c r="A389" s="37"/>
      <c r="B389" s="32">
        <v>85406</v>
      </c>
      <c r="C389" s="135" t="s">
        <v>87</v>
      </c>
      <c r="D389" s="72">
        <f>D391</f>
        <v>1459227</v>
      </c>
      <c r="E389" s="72">
        <f>E391</f>
        <v>791639.36</v>
      </c>
      <c r="F389" s="60">
        <f t="shared" si="5"/>
        <v>0.5425059706269141</v>
      </c>
      <c r="G389" s="28"/>
    </row>
    <row r="390" spans="1:7" ht="15.75">
      <c r="A390" s="37"/>
      <c r="B390" s="32"/>
      <c r="C390" s="79" t="s">
        <v>14</v>
      </c>
      <c r="D390" s="62"/>
      <c r="E390" s="63"/>
      <c r="F390" s="14"/>
      <c r="G390" s="28"/>
    </row>
    <row r="391" spans="1:7" ht="15.75">
      <c r="A391" s="37"/>
      <c r="B391" s="32"/>
      <c r="C391" s="80" t="s">
        <v>21</v>
      </c>
      <c r="D391" s="22">
        <v>1459227</v>
      </c>
      <c r="E391" s="11">
        <v>791639.36</v>
      </c>
      <c r="F391" s="9">
        <f aca="true" t="shared" si="6" ref="F391:F447">E391/D391</f>
        <v>0.5425059706269141</v>
      </c>
      <c r="G391" s="28"/>
    </row>
    <row r="392" spans="1:7" ht="15.75">
      <c r="A392" s="37"/>
      <c r="B392" s="32"/>
      <c r="C392" s="80" t="s">
        <v>150</v>
      </c>
      <c r="D392" s="22">
        <v>1246877</v>
      </c>
      <c r="E392" s="11">
        <v>658276.88</v>
      </c>
      <c r="F392" s="9">
        <f t="shared" si="6"/>
        <v>0.5279405105716121</v>
      </c>
      <c r="G392" s="28"/>
    </row>
    <row r="393" spans="1:7" ht="31.5">
      <c r="A393" s="37"/>
      <c r="B393" s="32"/>
      <c r="C393" s="80" t="s">
        <v>149</v>
      </c>
      <c r="D393" s="22">
        <f>D391-D392</f>
        <v>212350</v>
      </c>
      <c r="E393" s="22">
        <f>E391-E392</f>
        <v>133362.47999999998</v>
      </c>
      <c r="F393" s="9">
        <f t="shared" si="6"/>
        <v>0.6280314574994112</v>
      </c>
      <c r="G393" s="28"/>
    </row>
    <row r="394" spans="1:7" ht="15.75">
      <c r="A394" s="37"/>
      <c r="B394" s="32"/>
      <c r="C394" s="67" t="s">
        <v>117</v>
      </c>
      <c r="D394" s="68"/>
      <c r="E394" s="68"/>
      <c r="F394" s="16"/>
      <c r="G394" s="28"/>
    </row>
    <row r="395" spans="1:7" ht="15.75">
      <c r="A395" s="37"/>
      <c r="B395" s="32"/>
      <c r="C395" s="58" t="s">
        <v>88</v>
      </c>
      <c r="D395" s="69">
        <f>155298+824462</f>
        <v>979760</v>
      </c>
      <c r="E395" s="7">
        <v>539031.72</v>
      </c>
      <c r="F395" s="14">
        <f t="shared" si="6"/>
        <v>0.5501671021474647</v>
      </c>
      <c r="G395" s="28"/>
    </row>
    <row r="396" spans="1:7" ht="15.75">
      <c r="A396" s="37"/>
      <c r="B396" s="32"/>
      <c r="C396" s="10" t="s">
        <v>89</v>
      </c>
      <c r="D396" s="22">
        <f>57052+422415</f>
        <v>479467</v>
      </c>
      <c r="E396" s="11">
        <v>252607.64</v>
      </c>
      <c r="F396" s="9">
        <f t="shared" si="6"/>
        <v>0.5268509407321046</v>
      </c>
      <c r="G396" s="28"/>
    </row>
    <row r="397" spans="1:7" ht="15.75">
      <c r="A397" s="37"/>
      <c r="B397" s="2">
        <v>85407</v>
      </c>
      <c r="C397" s="54" t="s">
        <v>90</v>
      </c>
      <c r="D397" s="56">
        <f>D399</f>
        <v>397796</v>
      </c>
      <c r="E397" s="56">
        <f>E399</f>
        <v>204191.98</v>
      </c>
      <c r="F397" s="57">
        <f t="shared" si="6"/>
        <v>0.5133082786151696</v>
      </c>
      <c r="G397" s="28"/>
    </row>
    <row r="398" spans="1:7" ht="15.75">
      <c r="A398" s="37"/>
      <c r="B398" s="32"/>
      <c r="C398" s="79" t="s">
        <v>14</v>
      </c>
      <c r="D398" s="62"/>
      <c r="E398" s="63"/>
      <c r="F398" s="14"/>
      <c r="G398" s="28"/>
    </row>
    <row r="399" spans="1:7" ht="15.75">
      <c r="A399" s="37"/>
      <c r="B399" s="32"/>
      <c r="C399" s="80" t="s">
        <v>21</v>
      </c>
      <c r="D399" s="22">
        <v>397796</v>
      </c>
      <c r="E399" s="11">
        <v>204191.98</v>
      </c>
      <c r="F399" s="9">
        <f t="shared" si="6"/>
        <v>0.5133082786151696</v>
      </c>
      <c r="G399" s="28"/>
    </row>
    <row r="400" spans="1:7" ht="15.75">
      <c r="A400" s="37"/>
      <c r="B400" s="32"/>
      <c r="C400" s="80" t="s">
        <v>150</v>
      </c>
      <c r="D400" s="22">
        <v>333815</v>
      </c>
      <c r="E400" s="11">
        <v>168267.21</v>
      </c>
      <c r="F400" s="9">
        <f t="shared" si="6"/>
        <v>0.5040732441621856</v>
      </c>
      <c r="G400" s="28"/>
    </row>
    <row r="401" spans="1:7" ht="31.5">
      <c r="A401" s="37"/>
      <c r="B401" s="32"/>
      <c r="C401" s="80" t="s">
        <v>149</v>
      </c>
      <c r="D401" s="22">
        <f>D399-D400</f>
        <v>63981</v>
      </c>
      <c r="E401" s="22">
        <v>35924.77</v>
      </c>
      <c r="F401" s="9">
        <f t="shared" si="6"/>
        <v>0.5614912239571123</v>
      </c>
      <c r="G401" s="28"/>
    </row>
    <row r="402" spans="1:7" ht="15.75">
      <c r="A402" s="37"/>
      <c r="B402" s="32"/>
      <c r="C402" s="197" t="s">
        <v>85</v>
      </c>
      <c r="D402" s="198"/>
      <c r="E402" s="89"/>
      <c r="F402" s="16"/>
      <c r="G402" s="28"/>
    </row>
    <row r="403" spans="1:7" ht="15.75">
      <c r="A403" s="37"/>
      <c r="B403" s="32"/>
      <c r="C403" s="58" t="s">
        <v>91</v>
      </c>
      <c r="D403" s="77">
        <f>D399</f>
        <v>397796</v>
      </c>
      <c r="E403" s="77">
        <f>E399</f>
        <v>204191.98</v>
      </c>
      <c r="F403" s="14">
        <f t="shared" si="6"/>
        <v>0.5133082786151696</v>
      </c>
      <c r="G403" s="28"/>
    </row>
    <row r="404" spans="1:7" ht="15.75">
      <c r="A404" s="37"/>
      <c r="B404" s="195">
        <v>85410</v>
      </c>
      <c r="C404" s="132" t="s">
        <v>92</v>
      </c>
      <c r="D404" s="56">
        <f>D406</f>
        <v>686999</v>
      </c>
      <c r="E404" s="56">
        <f>E406</f>
        <v>348557.94</v>
      </c>
      <c r="F404" s="57">
        <f t="shared" si="6"/>
        <v>0.5073630965983938</v>
      </c>
      <c r="G404" s="28"/>
    </row>
    <row r="405" spans="1:7" ht="15.75">
      <c r="A405" s="37"/>
      <c r="B405" s="196"/>
      <c r="C405" s="79" t="s">
        <v>14</v>
      </c>
      <c r="D405" s="62"/>
      <c r="E405" s="63"/>
      <c r="F405" s="14"/>
      <c r="G405" s="28"/>
    </row>
    <row r="406" spans="1:7" ht="15.75">
      <c r="A406" s="37"/>
      <c r="B406" s="196"/>
      <c r="C406" s="80" t="s">
        <v>21</v>
      </c>
      <c r="D406" s="22">
        <v>686999</v>
      </c>
      <c r="E406" s="11">
        <v>348557.94</v>
      </c>
      <c r="F406" s="9">
        <f t="shared" si="6"/>
        <v>0.5073630965983938</v>
      </c>
      <c r="G406" s="28"/>
    </row>
    <row r="407" spans="1:7" ht="15.75">
      <c r="A407" s="37"/>
      <c r="B407" s="196"/>
      <c r="C407" s="80" t="s">
        <v>150</v>
      </c>
      <c r="D407" s="22">
        <v>370403</v>
      </c>
      <c r="E407" s="11">
        <v>207633.39</v>
      </c>
      <c r="F407" s="9">
        <f t="shared" si="6"/>
        <v>0.5605607675963747</v>
      </c>
      <c r="G407" s="28"/>
    </row>
    <row r="408" spans="1:7" ht="15.75">
      <c r="A408" s="37"/>
      <c r="B408" s="196"/>
      <c r="C408" s="80" t="s">
        <v>107</v>
      </c>
      <c r="D408" s="22">
        <v>183708</v>
      </c>
      <c r="E408" s="11">
        <v>85215.82</v>
      </c>
      <c r="F408" s="9">
        <f t="shared" si="6"/>
        <v>0.46386559104666103</v>
      </c>
      <c r="G408" s="28"/>
    </row>
    <row r="409" spans="1:7" ht="31.5">
      <c r="A409" s="37"/>
      <c r="B409" s="196"/>
      <c r="C409" s="80" t="s">
        <v>149</v>
      </c>
      <c r="D409" s="22">
        <f>D406-D407-D408</f>
        <v>132888</v>
      </c>
      <c r="E409" s="22">
        <f>E406-E407-E408</f>
        <v>55708.72999999998</v>
      </c>
      <c r="F409" s="9">
        <f t="shared" si="6"/>
        <v>0.419215655288664</v>
      </c>
      <c r="G409" s="28"/>
    </row>
    <row r="410" spans="1:7" s="177" customFormat="1" ht="15.75">
      <c r="A410" s="37"/>
      <c r="B410" s="196"/>
      <c r="C410" s="67" t="s">
        <v>24</v>
      </c>
      <c r="D410" s="68"/>
      <c r="E410" s="68"/>
      <c r="F410" s="16"/>
      <c r="G410" s="176"/>
    </row>
    <row r="411" spans="1:7" s="177" customFormat="1" ht="15.75">
      <c r="A411" s="37"/>
      <c r="B411" s="196"/>
      <c r="C411" s="15" t="s">
        <v>141</v>
      </c>
      <c r="D411" s="25">
        <f>91305+259102</f>
        <v>350407</v>
      </c>
      <c r="E411" s="13">
        <v>192275.66</v>
      </c>
      <c r="F411" s="8">
        <f t="shared" si="6"/>
        <v>0.5487209445016795</v>
      </c>
      <c r="G411" s="176"/>
    </row>
    <row r="412" spans="1:7" ht="15.75">
      <c r="A412" s="37"/>
      <c r="B412" s="196"/>
      <c r="C412" s="10" t="s">
        <v>140</v>
      </c>
      <c r="D412" s="22">
        <f>D408</f>
        <v>183708</v>
      </c>
      <c r="E412" s="22">
        <f>E408</f>
        <v>85215.82</v>
      </c>
      <c r="F412" s="9">
        <f t="shared" si="6"/>
        <v>0.46386559104666103</v>
      </c>
      <c r="G412" s="28"/>
    </row>
    <row r="413" spans="1:7" ht="15.75">
      <c r="A413" s="37"/>
      <c r="B413" s="32"/>
      <c r="C413" s="3" t="s">
        <v>183</v>
      </c>
      <c r="D413" s="59">
        <f>41583+111301</f>
        <v>152884</v>
      </c>
      <c r="E413" s="59">
        <v>71066.46</v>
      </c>
      <c r="F413" s="5">
        <f>E413/D413</f>
        <v>0.4648390936919495</v>
      </c>
      <c r="G413" s="28"/>
    </row>
    <row r="414" spans="1:7" ht="15.75">
      <c r="A414" s="37"/>
      <c r="B414" s="2">
        <v>85415</v>
      </c>
      <c r="C414" s="132" t="s">
        <v>93</v>
      </c>
      <c r="D414" s="56">
        <f>D416</f>
        <v>273062</v>
      </c>
      <c r="E414" s="56">
        <f>E416</f>
        <v>17400</v>
      </c>
      <c r="F414" s="57">
        <f t="shared" si="6"/>
        <v>0.06372179212047081</v>
      </c>
      <c r="G414" s="28"/>
    </row>
    <row r="415" spans="1:7" ht="15.75">
      <c r="A415" s="37"/>
      <c r="B415" s="32"/>
      <c r="C415" s="79" t="s">
        <v>14</v>
      </c>
      <c r="D415" s="7"/>
      <c r="E415" s="7"/>
      <c r="F415" s="14"/>
      <c r="G415" s="28"/>
    </row>
    <row r="416" spans="1:7" ht="15.75">
      <c r="A416" s="37"/>
      <c r="B416" s="32"/>
      <c r="C416" s="80" t="s">
        <v>138</v>
      </c>
      <c r="D416" s="22">
        <v>273062</v>
      </c>
      <c r="E416" s="22">
        <v>17400</v>
      </c>
      <c r="F416" s="9">
        <f t="shared" si="6"/>
        <v>0.06372179212047081</v>
      </c>
      <c r="G416" s="28"/>
    </row>
    <row r="417" spans="1:7" ht="31.5">
      <c r="A417" s="37"/>
      <c r="B417" s="32"/>
      <c r="C417" s="80" t="s">
        <v>149</v>
      </c>
      <c r="D417" s="26">
        <f>D416-D418</f>
        <v>21300</v>
      </c>
      <c r="E417" s="26">
        <f>E416-E418</f>
        <v>17400</v>
      </c>
      <c r="F417" s="19">
        <f>E417/D417</f>
        <v>0.8169014084507042</v>
      </c>
      <c r="G417" s="28"/>
    </row>
    <row r="418" spans="1:7" ht="31.5">
      <c r="A418" s="37"/>
      <c r="B418" s="32"/>
      <c r="C418" s="80" t="s">
        <v>170</v>
      </c>
      <c r="D418" s="22">
        <f>D419+D420</f>
        <v>251762</v>
      </c>
      <c r="E418" s="186">
        <f>E419+E420</f>
        <v>0</v>
      </c>
      <c r="F418" s="9">
        <f>E418/D418</f>
        <v>0</v>
      </c>
      <c r="G418" s="28"/>
    </row>
    <row r="419" spans="1:7" ht="15.75">
      <c r="A419" s="37"/>
      <c r="B419" s="32"/>
      <c r="C419" s="80" t="s">
        <v>150</v>
      </c>
      <c r="D419" s="22">
        <v>14954</v>
      </c>
      <c r="E419" s="11">
        <v>0</v>
      </c>
      <c r="F419" s="9">
        <f>E419/D419</f>
        <v>0</v>
      </c>
      <c r="G419" s="28"/>
    </row>
    <row r="420" spans="1:7" ht="15.75">
      <c r="A420" s="37"/>
      <c r="B420" s="32"/>
      <c r="C420" s="134" t="s">
        <v>171</v>
      </c>
      <c r="D420" s="23">
        <v>236808</v>
      </c>
      <c r="E420" s="12">
        <v>0</v>
      </c>
      <c r="F420" s="16">
        <f>E420/D420</f>
        <v>0</v>
      </c>
      <c r="G420" s="28"/>
    </row>
    <row r="421" spans="1:7" ht="15.75">
      <c r="A421" s="37"/>
      <c r="B421" s="32"/>
      <c r="C421" s="67" t="s">
        <v>24</v>
      </c>
      <c r="D421" s="174"/>
      <c r="E421" s="175"/>
      <c r="F421" s="124"/>
      <c r="G421" s="28"/>
    </row>
    <row r="422" spans="1:7" ht="15.75">
      <c r="A422" s="37"/>
      <c r="B422" s="32"/>
      <c r="C422" s="79" t="s">
        <v>176</v>
      </c>
      <c r="D422" s="69">
        <v>2100</v>
      </c>
      <c r="E422" s="7">
        <v>2100</v>
      </c>
      <c r="F422" s="14">
        <f t="shared" si="6"/>
        <v>1</v>
      </c>
      <c r="G422" s="28"/>
    </row>
    <row r="423" spans="1:7" ht="15.75">
      <c r="A423" s="37"/>
      <c r="B423" s="32"/>
      <c r="C423" s="10" t="s">
        <v>46</v>
      </c>
      <c r="D423" s="22">
        <v>900</v>
      </c>
      <c r="E423" s="11">
        <v>900</v>
      </c>
      <c r="F423" s="9">
        <f t="shared" si="6"/>
        <v>1</v>
      </c>
      <c r="G423" s="28"/>
    </row>
    <row r="424" spans="1:7" ht="15.75">
      <c r="A424" s="37"/>
      <c r="B424" s="32"/>
      <c r="C424" s="10" t="s">
        <v>62</v>
      </c>
      <c r="D424" s="22">
        <v>1800</v>
      </c>
      <c r="E424" s="11">
        <v>900</v>
      </c>
      <c r="F424" s="9">
        <f t="shared" si="6"/>
        <v>0.5</v>
      </c>
      <c r="G424" s="28"/>
    </row>
    <row r="425" spans="1:7" ht="15.75">
      <c r="A425" s="37"/>
      <c r="B425" s="32"/>
      <c r="C425" s="87" t="s">
        <v>123</v>
      </c>
      <c r="D425" s="22">
        <v>900</v>
      </c>
      <c r="E425" s="11">
        <v>450</v>
      </c>
      <c r="F425" s="9">
        <f t="shared" si="6"/>
        <v>0.5</v>
      </c>
      <c r="G425" s="28"/>
    </row>
    <row r="426" spans="1:7" ht="15.75">
      <c r="A426" s="37"/>
      <c r="B426" s="32"/>
      <c r="C426" s="10" t="s">
        <v>52</v>
      </c>
      <c r="D426" s="114">
        <v>1500</v>
      </c>
      <c r="E426" s="11">
        <v>1500</v>
      </c>
      <c r="F426" s="9">
        <f>E426/D432</f>
        <v>0.8333333333333334</v>
      </c>
      <c r="G426" s="28"/>
    </row>
    <row r="427" spans="1:7" ht="15.75">
      <c r="A427" s="37"/>
      <c r="B427" s="37"/>
      <c r="C427" s="10" t="s">
        <v>58</v>
      </c>
      <c r="D427" s="22">
        <v>3000</v>
      </c>
      <c r="E427" s="11">
        <v>3000</v>
      </c>
      <c r="F427" s="9">
        <f t="shared" si="6"/>
        <v>1</v>
      </c>
      <c r="G427" s="36">
        <f>D422+D423+D424+D425+D426+D427+D428+D429+D430+D431+D432+D433+D434+D435</f>
        <v>21300</v>
      </c>
    </row>
    <row r="428" spans="1:7" ht="15.75">
      <c r="A428" s="37"/>
      <c r="B428" s="37"/>
      <c r="C428" s="10" t="s">
        <v>57</v>
      </c>
      <c r="D428" s="22">
        <v>1500</v>
      </c>
      <c r="E428" s="11">
        <v>750</v>
      </c>
      <c r="F428" s="9">
        <f t="shared" si="6"/>
        <v>0.5</v>
      </c>
      <c r="G428" s="36">
        <f>SUM(E422:E436)</f>
        <v>17400</v>
      </c>
    </row>
    <row r="429" spans="1:7" ht="15.75">
      <c r="A429" s="37"/>
      <c r="B429" s="37"/>
      <c r="C429" s="10" t="s">
        <v>50</v>
      </c>
      <c r="D429" s="22">
        <v>900</v>
      </c>
      <c r="E429" s="11">
        <v>900</v>
      </c>
      <c r="F429" s="9">
        <f t="shared" si="6"/>
        <v>1</v>
      </c>
      <c r="G429" s="28"/>
    </row>
    <row r="430" spans="1:7" ht="15.75">
      <c r="A430" s="37"/>
      <c r="B430" s="37"/>
      <c r="C430" s="10" t="s">
        <v>54</v>
      </c>
      <c r="D430" s="22">
        <v>1800</v>
      </c>
      <c r="E430" s="11">
        <v>1800</v>
      </c>
      <c r="F430" s="9">
        <f t="shared" si="6"/>
        <v>1</v>
      </c>
      <c r="G430" s="28"/>
    </row>
    <row r="431" spans="1:7" ht="15.75">
      <c r="A431" s="37"/>
      <c r="B431" s="37"/>
      <c r="C431" s="10" t="s">
        <v>49</v>
      </c>
      <c r="D431" s="22">
        <v>900</v>
      </c>
      <c r="E431" s="11">
        <v>450</v>
      </c>
      <c r="F431" s="9">
        <f t="shared" si="6"/>
        <v>0.5</v>
      </c>
      <c r="G431" s="28"/>
    </row>
    <row r="432" spans="1:7" ht="15.75">
      <c r="A432" s="37"/>
      <c r="B432" s="37"/>
      <c r="C432" s="80" t="s">
        <v>135</v>
      </c>
      <c r="D432" s="22">
        <v>1800</v>
      </c>
      <c r="E432" s="11">
        <v>900</v>
      </c>
      <c r="F432" s="9">
        <f>E432/D432</f>
        <v>0.5</v>
      </c>
      <c r="G432" s="28"/>
    </row>
    <row r="433" spans="1:7" ht="15.75">
      <c r="A433" s="37"/>
      <c r="B433" s="37"/>
      <c r="C433" s="87" t="s">
        <v>125</v>
      </c>
      <c r="D433" s="22">
        <v>1200</v>
      </c>
      <c r="E433" s="11">
        <v>1200</v>
      </c>
      <c r="F433" s="9">
        <f t="shared" si="6"/>
        <v>1</v>
      </c>
      <c r="G433" s="28"/>
    </row>
    <row r="434" spans="1:7" ht="15.75">
      <c r="A434" s="37"/>
      <c r="B434" s="37"/>
      <c r="C434" s="87" t="s">
        <v>184</v>
      </c>
      <c r="D434" s="22">
        <v>2100</v>
      </c>
      <c r="E434" s="11">
        <v>2100</v>
      </c>
      <c r="F434" s="9">
        <f t="shared" si="6"/>
        <v>1</v>
      </c>
      <c r="G434" s="28"/>
    </row>
    <row r="435" spans="1:7" ht="15.75">
      <c r="A435" s="37"/>
      <c r="B435" s="37"/>
      <c r="C435" s="87" t="s">
        <v>67</v>
      </c>
      <c r="D435" s="22">
        <v>900</v>
      </c>
      <c r="E435" s="11">
        <v>450</v>
      </c>
      <c r="F435" s="9">
        <f t="shared" si="6"/>
        <v>0.5</v>
      </c>
      <c r="G435" s="28"/>
    </row>
    <row r="436" spans="1:7" ht="15.75">
      <c r="A436" s="37"/>
      <c r="B436" s="37"/>
      <c r="C436" s="110" t="s">
        <v>139</v>
      </c>
      <c r="D436" s="59">
        <f>D418</f>
        <v>251762</v>
      </c>
      <c r="E436" s="4">
        <v>0</v>
      </c>
      <c r="F436" s="5">
        <f>E436/D436</f>
        <v>0</v>
      </c>
      <c r="G436" s="28"/>
    </row>
    <row r="437" spans="1:7" ht="15.75">
      <c r="A437" s="37"/>
      <c r="B437" s="2">
        <v>85417</v>
      </c>
      <c r="C437" s="169" t="s">
        <v>94</v>
      </c>
      <c r="D437" s="56">
        <f>D439</f>
        <v>627584</v>
      </c>
      <c r="E437" s="56">
        <f>E439</f>
        <v>330053.66</v>
      </c>
      <c r="F437" s="57">
        <f t="shared" si="6"/>
        <v>0.5259115273811952</v>
      </c>
      <c r="G437" s="28"/>
    </row>
    <row r="438" spans="1:7" ht="15.75">
      <c r="A438" s="37"/>
      <c r="B438" s="32"/>
      <c r="C438" s="79" t="s">
        <v>14</v>
      </c>
      <c r="D438" s="62"/>
      <c r="E438" s="63"/>
      <c r="F438" s="14"/>
      <c r="G438" s="28"/>
    </row>
    <row r="439" spans="1:7" ht="15.75">
      <c r="A439" s="37"/>
      <c r="B439" s="32"/>
      <c r="C439" s="80" t="s">
        <v>21</v>
      </c>
      <c r="D439" s="22">
        <v>627584</v>
      </c>
      <c r="E439" s="11">
        <v>330053.66</v>
      </c>
      <c r="F439" s="9">
        <f t="shared" si="6"/>
        <v>0.5259115273811952</v>
      </c>
      <c r="G439" s="28"/>
    </row>
    <row r="440" spans="1:7" ht="15.75">
      <c r="A440" s="37"/>
      <c r="B440" s="32"/>
      <c r="C440" s="80" t="s">
        <v>150</v>
      </c>
      <c r="D440" s="22">
        <v>418422</v>
      </c>
      <c r="E440" s="11">
        <v>215760.37</v>
      </c>
      <c r="F440" s="9">
        <f t="shared" si="6"/>
        <v>0.5156525469502081</v>
      </c>
      <c r="G440" s="28"/>
    </row>
    <row r="441" spans="1:7" ht="15.75">
      <c r="A441" s="37"/>
      <c r="B441" s="32"/>
      <c r="C441" s="80" t="s">
        <v>107</v>
      </c>
      <c r="D441" s="22">
        <v>184289</v>
      </c>
      <c r="E441" s="11">
        <v>94463.9</v>
      </c>
      <c r="F441" s="9">
        <f t="shared" si="6"/>
        <v>0.5125856670772536</v>
      </c>
      <c r="G441" s="28"/>
    </row>
    <row r="442" spans="1:7" s="177" customFormat="1" ht="31.5">
      <c r="A442" s="37"/>
      <c r="B442" s="32"/>
      <c r="C442" s="80" t="s">
        <v>149</v>
      </c>
      <c r="D442" s="22">
        <f>D439-D440-D441</f>
        <v>24873</v>
      </c>
      <c r="E442" s="22">
        <f>E439-E440-E441</f>
        <v>19829.389999999985</v>
      </c>
      <c r="F442" s="9">
        <f t="shared" si="6"/>
        <v>0.7972255055682863</v>
      </c>
      <c r="G442" s="176"/>
    </row>
    <row r="443" spans="1:7" ht="15.75">
      <c r="A443" s="37"/>
      <c r="B443" s="32"/>
      <c r="C443" s="67" t="s">
        <v>24</v>
      </c>
      <c r="D443" s="111"/>
      <c r="E443" s="68"/>
      <c r="F443" s="16"/>
      <c r="G443" s="28"/>
    </row>
    <row r="444" spans="1:7" ht="15.75">
      <c r="A444" s="37"/>
      <c r="B444" s="200"/>
      <c r="C444" s="10" t="s">
        <v>172</v>
      </c>
      <c r="D444" s="22">
        <f>9105+200485</f>
        <v>209590</v>
      </c>
      <c r="E444" s="11">
        <v>112362.65</v>
      </c>
      <c r="F444" s="9">
        <f t="shared" si="6"/>
        <v>0.5361069230402213</v>
      </c>
      <c r="G444" s="28"/>
    </row>
    <row r="445" spans="1:7" ht="15.75">
      <c r="A445" s="37"/>
      <c r="B445" s="200"/>
      <c r="C445" s="10" t="s">
        <v>95</v>
      </c>
      <c r="D445" s="22">
        <f>15768+217937</f>
        <v>233705</v>
      </c>
      <c r="E445" s="11">
        <v>123227.11</v>
      </c>
      <c r="F445" s="9">
        <f t="shared" si="6"/>
        <v>0.5272763098778375</v>
      </c>
      <c r="G445" s="28"/>
    </row>
    <row r="446" spans="1:7" ht="15.75">
      <c r="A446" s="37"/>
      <c r="B446" s="200"/>
      <c r="C446" s="87" t="s">
        <v>124</v>
      </c>
      <c r="D446" s="22">
        <f>SUM(D447:D447)</f>
        <v>184289</v>
      </c>
      <c r="E446" s="22">
        <f>SUM(E447:E447)</f>
        <v>94463.9</v>
      </c>
      <c r="F446" s="9">
        <f t="shared" si="6"/>
        <v>0.5125856670772536</v>
      </c>
      <c r="G446" s="28"/>
    </row>
    <row r="447" spans="1:7" ht="15.75">
      <c r="A447" s="37"/>
      <c r="B447" s="200"/>
      <c r="C447" s="183" t="s">
        <v>136</v>
      </c>
      <c r="D447" s="26">
        <f>D441</f>
        <v>184289</v>
      </c>
      <c r="E447" s="26">
        <f>E441</f>
        <v>94463.9</v>
      </c>
      <c r="F447" s="19">
        <f t="shared" si="6"/>
        <v>0.5125856670772536</v>
      </c>
      <c r="G447" s="28"/>
    </row>
    <row r="448" spans="1:7" ht="15.75">
      <c r="A448" s="37"/>
      <c r="B448" s="2">
        <v>85419</v>
      </c>
      <c r="C448" s="165" t="s">
        <v>96</v>
      </c>
      <c r="D448" s="96">
        <f>D450</f>
        <v>3489480</v>
      </c>
      <c r="E448" s="96">
        <f>E450</f>
        <v>1759557.8</v>
      </c>
      <c r="F448" s="97">
        <f aca="true" t="shared" si="7" ref="F448:F509">E448/D448</f>
        <v>0.5042464206701285</v>
      </c>
      <c r="G448" s="28"/>
    </row>
    <row r="449" spans="1:7" ht="15.75">
      <c r="A449" s="37"/>
      <c r="B449" s="32"/>
      <c r="C449" s="80" t="s">
        <v>14</v>
      </c>
      <c r="D449" s="103"/>
      <c r="E449" s="85"/>
      <c r="F449" s="9"/>
      <c r="G449" s="28"/>
    </row>
    <row r="450" spans="1:7" ht="15.75">
      <c r="A450" s="37"/>
      <c r="B450" s="32"/>
      <c r="C450" s="90" t="s">
        <v>168</v>
      </c>
      <c r="D450" s="22">
        <v>3489480</v>
      </c>
      <c r="E450" s="11">
        <v>1759557.8</v>
      </c>
      <c r="F450" s="9">
        <f t="shared" si="7"/>
        <v>0.5042464206701285</v>
      </c>
      <c r="G450" s="28"/>
    </row>
    <row r="451" spans="1:7" ht="15.75">
      <c r="A451" s="37"/>
      <c r="B451" s="32"/>
      <c r="C451" s="67" t="s">
        <v>24</v>
      </c>
      <c r="D451" s="104"/>
      <c r="E451" s="104"/>
      <c r="F451" s="16"/>
      <c r="G451" s="28"/>
    </row>
    <row r="452" spans="1:7" ht="15.75">
      <c r="A452" s="37"/>
      <c r="B452" s="32"/>
      <c r="C452" s="58" t="s">
        <v>97</v>
      </c>
      <c r="D452" s="77">
        <v>2039120</v>
      </c>
      <c r="E452" s="107">
        <v>1027640.9</v>
      </c>
      <c r="F452" s="14">
        <f t="shared" si="7"/>
        <v>0.503962934991565</v>
      </c>
      <c r="G452" s="28"/>
    </row>
    <row r="453" spans="1:7" ht="15.75">
      <c r="A453" s="37"/>
      <c r="B453" s="34"/>
      <c r="C453" s="95" t="s">
        <v>122</v>
      </c>
      <c r="D453" s="88">
        <v>1450360</v>
      </c>
      <c r="E453" s="108">
        <v>731916.9</v>
      </c>
      <c r="F453" s="16">
        <f t="shared" si="7"/>
        <v>0.5046449846934554</v>
      </c>
      <c r="G453" s="28"/>
    </row>
    <row r="454" spans="1:7" ht="15.75">
      <c r="A454" s="37"/>
      <c r="B454" s="32">
        <v>85446</v>
      </c>
      <c r="C454" s="170" t="s">
        <v>82</v>
      </c>
      <c r="D454" s="72">
        <f>D456</f>
        <v>51345</v>
      </c>
      <c r="E454" s="72">
        <f>E456</f>
        <v>16197.42</v>
      </c>
      <c r="F454" s="60">
        <f t="shared" si="7"/>
        <v>0.315462459830558</v>
      </c>
      <c r="G454" s="28"/>
    </row>
    <row r="455" spans="1:7" ht="15.75">
      <c r="A455" s="37"/>
      <c r="B455" s="32"/>
      <c r="C455" s="79" t="s">
        <v>14</v>
      </c>
      <c r="D455" s="24"/>
      <c r="E455" s="63"/>
      <c r="F455" s="14"/>
      <c r="G455" s="28"/>
    </row>
    <row r="456" spans="1:7" ht="31.5">
      <c r="A456" s="37"/>
      <c r="B456" s="32"/>
      <c r="C456" s="171" t="s">
        <v>169</v>
      </c>
      <c r="D456" s="22">
        <v>51345</v>
      </c>
      <c r="E456" s="11">
        <v>16197.42</v>
      </c>
      <c r="F456" s="9">
        <f t="shared" si="7"/>
        <v>0.315462459830558</v>
      </c>
      <c r="G456" s="36">
        <f>D458+D459+D460+D461</f>
        <v>51345</v>
      </c>
    </row>
    <row r="457" spans="1:7" ht="15.75">
      <c r="A457" s="37"/>
      <c r="B457" s="32"/>
      <c r="C457" s="172" t="s">
        <v>24</v>
      </c>
      <c r="D457" s="116"/>
      <c r="E457" s="115"/>
      <c r="F457" s="9"/>
      <c r="G457" s="28"/>
    </row>
    <row r="458" spans="1:7" ht="15.75">
      <c r="A458" s="37"/>
      <c r="B458" s="32"/>
      <c r="C458" s="80" t="s">
        <v>67</v>
      </c>
      <c r="D458" s="69">
        <v>18940</v>
      </c>
      <c r="E458" s="11">
        <v>5800.7</v>
      </c>
      <c r="F458" s="9">
        <f t="shared" si="7"/>
        <v>0.30626715945089755</v>
      </c>
      <c r="G458" s="28"/>
    </row>
    <row r="459" spans="1:7" ht="15.75">
      <c r="A459" s="37"/>
      <c r="B459" s="32"/>
      <c r="C459" s="80" t="s">
        <v>88</v>
      </c>
      <c r="D459" s="22">
        <v>17622</v>
      </c>
      <c r="E459" s="11">
        <v>6409.5</v>
      </c>
      <c r="F459" s="9">
        <f t="shared" si="7"/>
        <v>0.36372148450800135</v>
      </c>
      <c r="G459" s="36">
        <f>E458+E459+E460+E461</f>
        <v>16197.42</v>
      </c>
    </row>
    <row r="460" spans="1:7" ht="15.75">
      <c r="A460" s="37"/>
      <c r="B460" s="32"/>
      <c r="C460" s="80" t="s">
        <v>89</v>
      </c>
      <c r="D460" s="22">
        <v>9330</v>
      </c>
      <c r="E460" s="11">
        <v>775.47</v>
      </c>
      <c r="F460" s="9">
        <f t="shared" si="7"/>
        <v>0.08311575562700965</v>
      </c>
      <c r="G460" s="28"/>
    </row>
    <row r="461" spans="1:7" ht="15.75">
      <c r="A461" s="37"/>
      <c r="B461" s="32"/>
      <c r="C461" s="134" t="s">
        <v>98</v>
      </c>
      <c r="D461" s="22">
        <v>5453</v>
      </c>
      <c r="E461" s="11">
        <v>3211.75</v>
      </c>
      <c r="F461" s="9">
        <f t="shared" si="7"/>
        <v>0.5889877131854026</v>
      </c>
      <c r="G461" s="28"/>
    </row>
    <row r="462" spans="1:7" ht="15.75">
      <c r="A462" s="219"/>
      <c r="B462" s="222">
        <v>85495</v>
      </c>
      <c r="C462" s="173" t="s">
        <v>29</v>
      </c>
      <c r="D462" s="27">
        <f>D464</f>
        <v>204402</v>
      </c>
      <c r="E462" s="27">
        <f>E464</f>
        <v>64624</v>
      </c>
      <c r="F462" s="55">
        <f t="shared" si="7"/>
        <v>0.3161612900069471</v>
      </c>
      <c r="G462" s="28"/>
    </row>
    <row r="463" spans="1:7" ht="15.75">
      <c r="A463" s="220"/>
      <c r="B463" s="223"/>
      <c r="C463" s="80" t="s">
        <v>14</v>
      </c>
      <c r="D463" s="126"/>
      <c r="E463" s="129"/>
      <c r="F463" s="8"/>
      <c r="G463" s="28"/>
    </row>
    <row r="464" spans="1:7" ht="15.75">
      <c r="A464" s="220"/>
      <c r="B464" s="223"/>
      <c r="C464" s="80" t="s">
        <v>21</v>
      </c>
      <c r="D464" s="22">
        <v>204402</v>
      </c>
      <c r="E464" s="11">
        <v>64624</v>
      </c>
      <c r="F464" s="9">
        <f t="shared" si="7"/>
        <v>0.3161612900069471</v>
      </c>
      <c r="G464" s="28"/>
    </row>
    <row r="465" spans="1:7" ht="15.75">
      <c r="A465" s="220"/>
      <c r="B465" s="223"/>
      <c r="C465" s="80" t="s">
        <v>107</v>
      </c>
      <c r="D465" s="22">
        <v>30000</v>
      </c>
      <c r="E465" s="11">
        <v>20508</v>
      </c>
      <c r="F465" s="9">
        <f t="shared" si="7"/>
        <v>0.6836</v>
      </c>
      <c r="G465" s="28"/>
    </row>
    <row r="466" spans="1:7" ht="15.75">
      <c r="A466" s="220"/>
      <c r="B466" s="223"/>
      <c r="C466" s="120" t="s">
        <v>150</v>
      </c>
      <c r="D466" s="26">
        <v>115582</v>
      </c>
      <c r="E466" s="18">
        <v>0</v>
      </c>
      <c r="F466" s="19">
        <f t="shared" si="7"/>
        <v>0</v>
      </c>
      <c r="G466" s="28"/>
    </row>
    <row r="467" spans="1:7" ht="31.5">
      <c r="A467" s="220"/>
      <c r="B467" s="223"/>
      <c r="C467" s="80" t="s">
        <v>149</v>
      </c>
      <c r="D467" s="26">
        <f>D464-D465-D466</f>
        <v>58820</v>
      </c>
      <c r="E467" s="26">
        <f>E464-E465</f>
        <v>44116</v>
      </c>
      <c r="F467" s="19">
        <f t="shared" si="7"/>
        <v>0.7500170010200612</v>
      </c>
      <c r="G467" s="28"/>
    </row>
    <row r="468" spans="1:7" ht="15.75">
      <c r="A468" s="220"/>
      <c r="B468" s="223"/>
      <c r="C468" s="172" t="s">
        <v>24</v>
      </c>
      <c r="D468" s="115"/>
      <c r="E468" s="115"/>
      <c r="F468" s="9"/>
      <c r="G468" s="28"/>
    </row>
    <row r="469" spans="1:7" ht="15.75">
      <c r="A469" s="220"/>
      <c r="B469" s="223"/>
      <c r="C469" s="79" t="s">
        <v>143</v>
      </c>
      <c r="D469" s="69">
        <f>D466</f>
        <v>115582</v>
      </c>
      <c r="E469" s="7">
        <v>0</v>
      </c>
      <c r="F469" s="14">
        <f t="shared" si="7"/>
        <v>0</v>
      </c>
      <c r="G469" s="36">
        <f>D469+D470+D471+D472+D473+D474+D475</f>
        <v>204402</v>
      </c>
    </row>
    <row r="470" spans="1:7" s="122" customFormat="1" ht="15.75">
      <c r="A470" s="220"/>
      <c r="B470" s="223"/>
      <c r="C470" s="134" t="s">
        <v>140</v>
      </c>
      <c r="D470" s="23">
        <f>D465</f>
        <v>30000</v>
      </c>
      <c r="E470" s="12">
        <f>E465</f>
        <v>20508</v>
      </c>
      <c r="F470" s="16">
        <f t="shared" si="7"/>
        <v>0.6836</v>
      </c>
      <c r="G470" s="121"/>
    </row>
    <row r="471" spans="1:7" ht="15.75">
      <c r="A471" s="220"/>
      <c r="B471" s="223"/>
      <c r="C471" s="79" t="s">
        <v>67</v>
      </c>
      <c r="D471" s="25">
        <v>46780</v>
      </c>
      <c r="E471" s="13">
        <v>35085</v>
      </c>
      <c r="F471" s="8">
        <f t="shared" si="7"/>
        <v>0.75</v>
      </c>
      <c r="G471" s="36">
        <f>E469+E470+E471+E472+E473+E474+E475</f>
        <v>64624</v>
      </c>
    </row>
    <row r="472" spans="1:7" ht="15.75">
      <c r="A472" s="220"/>
      <c r="B472" s="223"/>
      <c r="C472" s="80" t="s">
        <v>88</v>
      </c>
      <c r="D472" s="22">
        <v>6606</v>
      </c>
      <c r="E472" s="11">
        <v>4955</v>
      </c>
      <c r="F472" s="9">
        <f t="shared" si="7"/>
        <v>0.7500756887677869</v>
      </c>
      <c r="G472" s="28"/>
    </row>
    <row r="473" spans="1:7" ht="15.75">
      <c r="A473" s="220"/>
      <c r="B473" s="223"/>
      <c r="C473" s="80" t="s">
        <v>89</v>
      </c>
      <c r="D473" s="22">
        <v>2265</v>
      </c>
      <c r="E473" s="11">
        <v>1699</v>
      </c>
      <c r="F473" s="9">
        <f t="shared" si="7"/>
        <v>0.7501103752759382</v>
      </c>
      <c r="G473" s="28"/>
    </row>
    <row r="474" spans="1:7" ht="15.75">
      <c r="A474" s="220"/>
      <c r="B474" s="223"/>
      <c r="C474" s="90" t="s">
        <v>98</v>
      </c>
      <c r="D474" s="22">
        <v>1992</v>
      </c>
      <c r="E474" s="11">
        <v>1494</v>
      </c>
      <c r="F474" s="9">
        <f t="shared" si="7"/>
        <v>0.75</v>
      </c>
      <c r="G474" s="28"/>
    </row>
    <row r="475" spans="1:7" ht="15.75">
      <c r="A475" s="221"/>
      <c r="B475" s="224"/>
      <c r="C475" s="134" t="s">
        <v>95</v>
      </c>
      <c r="D475" s="23">
        <v>1177</v>
      </c>
      <c r="E475" s="130">
        <v>883</v>
      </c>
      <c r="F475" s="16">
        <f t="shared" si="7"/>
        <v>0.7502124044180118</v>
      </c>
      <c r="G475" s="28"/>
    </row>
    <row r="476" spans="1:7" ht="15.75">
      <c r="A476" s="32">
        <v>900</v>
      </c>
      <c r="B476" s="31"/>
      <c r="C476" s="170" t="s">
        <v>99</v>
      </c>
      <c r="D476" s="70">
        <f>D483+D477</f>
        <v>203210</v>
      </c>
      <c r="E476" s="70">
        <f>E483+E477</f>
        <v>2310</v>
      </c>
      <c r="F476" s="60">
        <f t="shared" si="7"/>
        <v>0.011367550809507406</v>
      </c>
      <c r="G476" s="28"/>
    </row>
    <row r="477" spans="1:7" ht="31.5">
      <c r="A477" s="32"/>
      <c r="B477" s="2">
        <v>90019</v>
      </c>
      <c r="C477" s="169" t="s">
        <v>198</v>
      </c>
      <c r="D477" s="56">
        <f>D479+D482</f>
        <v>200000</v>
      </c>
      <c r="E477" s="56">
        <f>E479+E482</f>
        <v>0</v>
      </c>
      <c r="F477" s="57">
        <f>E477/D477</f>
        <v>0</v>
      </c>
      <c r="G477" s="28"/>
    </row>
    <row r="478" spans="1:7" ht="15.75">
      <c r="A478" s="32"/>
      <c r="B478" s="32"/>
      <c r="C478" s="79" t="s">
        <v>14</v>
      </c>
      <c r="D478" s="62"/>
      <c r="E478" s="63"/>
      <c r="F478" s="14"/>
      <c r="G478" s="28"/>
    </row>
    <row r="479" spans="1:7" ht="15.75">
      <c r="A479" s="32"/>
      <c r="B479" s="32"/>
      <c r="C479" s="80" t="s">
        <v>21</v>
      </c>
      <c r="D479" s="76">
        <v>123000</v>
      </c>
      <c r="E479" s="76">
        <f>E480</f>
        <v>0</v>
      </c>
      <c r="F479" s="9">
        <f>E479/D479</f>
        <v>0</v>
      </c>
      <c r="G479" s="28"/>
    </row>
    <row r="480" spans="1:7" ht="15.75">
      <c r="A480" s="32"/>
      <c r="B480" s="32"/>
      <c r="C480" s="120" t="s">
        <v>107</v>
      </c>
      <c r="D480" s="26">
        <v>20000</v>
      </c>
      <c r="E480" s="18">
        <v>0</v>
      </c>
      <c r="F480" s="19">
        <f>E480/D480</f>
        <v>0</v>
      </c>
      <c r="G480" s="28"/>
    </row>
    <row r="481" spans="1:7" ht="31.5">
      <c r="A481" s="32"/>
      <c r="B481" s="178"/>
      <c r="C481" s="80" t="s">
        <v>149</v>
      </c>
      <c r="D481" s="26">
        <f>D479-D480</f>
        <v>103000</v>
      </c>
      <c r="E481" s="26">
        <f>E479-E480</f>
        <v>0</v>
      </c>
      <c r="F481" s="19">
        <f>E481/D481</f>
        <v>0</v>
      </c>
      <c r="G481" s="28"/>
    </row>
    <row r="482" spans="1:7" s="177" customFormat="1" ht="15.75">
      <c r="A482" s="37"/>
      <c r="B482" s="32"/>
      <c r="C482" s="80" t="s">
        <v>23</v>
      </c>
      <c r="D482" s="11">
        <v>77000</v>
      </c>
      <c r="E482" s="11">
        <v>0</v>
      </c>
      <c r="F482" s="9">
        <f>E482/D482</f>
        <v>0</v>
      </c>
      <c r="G482" s="176"/>
    </row>
    <row r="483" spans="1:7" ht="15.75">
      <c r="A483" s="32"/>
      <c r="B483" s="2">
        <v>90095</v>
      </c>
      <c r="C483" s="169" t="s">
        <v>29</v>
      </c>
      <c r="D483" s="56">
        <f>D485</f>
        <v>3210</v>
      </c>
      <c r="E483" s="56">
        <f>E485</f>
        <v>2310</v>
      </c>
      <c r="F483" s="57">
        <f t="shared" si="7"/>
        <v>0.719626168224299</v>
      </c>
      <c r="G483" s="28"/>
    </row>
    <row r="484" spans="1:7" ht="15.75">
      <c r="A484" s="32"/>
      <c r="B484" s="32"/>
      <c r="C484" s="79" t="s">
        <v>14</v>
      </c>
      <c r="D484" s="62"/>
      <c r="E484" s="63"/>
      <c r="F484" s="14"/>
      <c r="G484" s="28"/>
    </row>
    <row r="485" spans="1:7" ht="15.75">
      <c r="A485" s="32"/>
      <c r="B485" s="32"/>
      <c r="C485" s="80" t="s">
        <v>21</v>
      </c>
      <c r="D485" s="76">
        <v>3210</v>
      </c>
      <c r="E485" s="76">
        <v>2310</v>
      </c>
      <c r="F485" s="9">
        <f t="shared" si="7"/>
        <v>0.719626168224299</v>
      </c>
      <c r="G485" s="28"/>
    </row>
    <row r="486" spans="1:7" ht="15.75">
      <c r="A486" s="32"/>
      <c r="B486" s="32"/>
      <c r="C486" s="120" t="s">
        <v>107</v>
      </c>
      <c r="D486" s="26">
        <v>3210</v>
      </c>
      <c r="E486" s="187">
        <v>2310</v>
      </c>
      <c r="F486" s="19">
        <f t="shared" si="7"/>
        <v>0.719626168224299</v>
      </c>
      <c r="G486" s="28"/>
    </row>
    <row r="487" spans="1:7" ht="15.75">
      <c r="A487" s="2">
        <v>921</v>
      </c>
      <c r="B487" s="35"/>
      <c r="C487" s="169" t="s">
        <v>100</v>
      </c>
      <c r="D487" s="27">
        <f>D488+D491+D494</f>
        <v>1771833</v>
      </c>
      <c r="E487" s="27">
        <f>E488+E491+E494</f>
        <v>861563.16</v>
      </c>
      <c r="F487" s="57">
        <f t="shared" si="7"/>
        <v>0.48625528478135355</v>
      </c>
      <c r="G487" s="28"/>
    </row>
    <row r="488" spans="1:7" ht="15.75">
      <c r="A488" s="32"/>
      <c r="B488" s="2">
        <v>92116</v>
      </c>
      <c r="C488" s="169" t="s">
        <v>101</v>
      </c>
      <c r="D488" s="56">
        <f>D490</f>
        <v>124000</v>
      </c>
      <c r="E488" s="56">
        <f>E490</f>
        <v>62000</v>
      </c>
      <c r="F488" s="57">
        <f t="shared" si="7"/>
        <v>0.5</v>
      </c>
      <c r="G488" s="28"/>
    </row>
    <row r="489" spans="1:7" ht="15.75">
      <c r="A489" s="32"/>
      <c r="B489" s="32"/>
      <c r="C489" s="79" t="s">
        <v>14</v>
      </c>
      <c r="D489" s="62"/>
      <c r="E489" s="63"/>
      <c r="F489" s="14"/>
      <c r="G489" s="28"/>
    </row>
    <row r="490" spans="1:7" ht="15.75">
      <c r="A490" s="32"/>
      <c r="B490" s="34"/>
      <c r="C490" s="134" t="s">
        <v>166</v>
      </c>
      <c r="D490" s="88">
        <v>124000</v>
      </c>
      <c r="E490" s="88">
        <v>62000</v>
      </c>
      <c r="F490" s="16">
        <f t="shared" si="7"/>
        <v>0.5</v>
      </c>
      <c r="G490" s="28"/>
    </row>
    <row r="491" spans="1:7" ht="15.75">
      <c r="A491" s="32"/>
      <c r="B491" s="32">
        <v>92118</v>
      </c>
      <c r="C491" s="170" t="s">
        <v>102</v>
      </c>
      <c r="D491" s="72">
        <f>D493</f>
        <v>1235373</v>
      </c>
      <c r="E491" s="72">
        <f>E493</f>
        <v>740500</v>
      </c>
      <c r="F491" s="60">
        <f t="shared" si="7"/>
        <v>0.5994141040803062</v>
      </c>
      <c r="G491" s="28"/>
    </row>
    <row r="492" spans="1:7" ht="15.75">
      <c r="A492" s="32"/>
      <c r="B492" s="32"/>
      <c r="C492" s="79" t="s">
        <v>14</v>
      </c>
      <c r="D492" s="62"/>
      <c r="E492" s="63"/>
      <c r="F492" s="14"/>
      <c r="G492" s="28"/>
    </row>
    <row r="493" spans="1:7" ht="15.75">
      <c r="A493" s="32"/>
      <c r="B493" s="32"/>
      <c r="C493" s="120" t="s">
        <v>155</v>
      </c>
      <c r="D493" s="117">
        <v>1235373</v>
      </c>
      <c r="E493" s="118">
        <v>740500</v>
      </c>
      <c r="F493" s="19">
        <f t="shared" si="7"/>
        <v>0.5994141040803062</v>
      </c>
      <c r="G493" s="105"/>
    </row>
    <row r="494" spans="1:7" ht="15.75">
      <c r="A494" s="32"/>
      <c r="B494" s="2">
        <v>92195</v>
      </c>
      <c r="C494" s="169" t="s">
        <v>29</v>
      </c>
      <c r="D494" s="56">
        <f>D496</f>
        <v>412460</v>
      </c>
      <c r="E494" s="56">
        <f>E496</f>
        <v>59063.16</v>
      </c>
      <c r="F494" s="57">
        <f t="shared" si="7"/>
        <v>0.1431973039809921</v>
      </c>
      <c r="G494" s="105"/>
    </row>
    <row r="495" spans="1:7" ht="15.75">
      <c r="A495" s="32"/>
      <c r="B495" s="32"/>
      <c r="C495" s="79" t="s">
        <v>14</v>
      </c>
      <c r="D495" s="62"/>
      <c r="E495" s="63"/>
      <c r="F495" s="14"/>
      <c r="G495" s="105"/>
    </row>
    <row r="496" spans="1:7" ht="15.75">
      <c r="A496" s="32"/>
      <c r="B496" s="32"/>
      <c r="C496" s="80" t="s">
        <v>21</v>
      </c>
      <c r="D496" s="22">
        <v>412460</v>
      </c>
      <c r="E496" s="11">
        <v>59063.16</v>
      </c>
      <c r="F496" s="9">
        <f t="shared" si="7"/>
        <v>0.1431973039809921</v>
      </c>
      <c r="G496" s="28"/>
    </row>
    <row r="497" spans="1:7" ht="15.75">
      <c r="A497" s="32"/>
      <c r="B497" s="32"/>
      <c r="C497" s="80" t="s">
        <v>150</v>
      </c>
      <c r="D497" s="22">
        <v>15077</v>
      </c>
      <c r="E497" s="11">
        <v>5153.17</v>
      </c>
      <c r="F497" s="9">
        <f t="shared" si="7"/>
        <v>0.34179014392783713</v>
      </c>
      <c r="G497" s="28"/>
    </row>
    <row r="498" spans="1:7" ht="15.75">
      <c r="A498" s="32"/>
      <c r="B498" s="32"/>
      <c r="C498" s="80" t="s">
        <v>107</v>
      </c>
      <c r="D498" s="22">
        <v>58140</v>
      </c>
      <c r="E498" s="11">
        <v>33700</v>
      </c>
      <c r="F498" s="9">
        <f t="shared" si="7"/>
        <v>0.5796353629170966</v>
      </c>
      <c r="G498" s="28"/>
    </row>
    <row r="499" spans="1:7" ht="31.5">
      <c r="A499" s="32"/>
      <c r="B499" s="32"/>
      <c r="C499" s="80" t="s">
        <v>149</v>
      </c>
      <c r="D499" s="22">
        <f>D496-D497-D498-D500</f>
        <v>93643</v>
      </c>
      <c r="E499" s="22">
        <f>E496-E497-E498-E500</f>
        <v>20209.990000000005</v>
      </c>
      <c r="F499" s="9">
        <f t="shared" si="7"/>
        <v>0.21581954871159623</v>
      </c>
      <c r="G499" s="28"/>
    </row>
    <row r="500" spans="1:7" ht="31.5">
      <c r="A500" s="32"/>
      <c r="B500" s="178"/>
      <c r="C500" s="80" t="s">
        <v>170</v>
      </c>
      <c r="D500" s="22">
        <f>D501+D502</f>
        <v>245600</v>
      </c>
      <c r="E500" s="22">
        <f>E501+E502</f>
        <v>0</v>
      </c>
      <c r="F500" s="9">
        <f t="shared" si="7"/>
        <v>0</v>
      </c>
      <c r="G500" s="28"/>
    </row>
    <row r="501" spans="1:7" ht="15.75">
      <c r="A501" s="32"/>
      <c r="B501" s="178"/>
      <c r="C501" s="80" t="s">
        <v>150</v>
      </c>
      <c r="D501" s="22">
        <v>49202</v>
      </c>
      <c r="E501" s="22">
        <v>0</v>
      </c>
      <c r="F501" s="9">
        <f t="shared" si="7"/>
        <v>0</v>
      </c>
      <c r="G501" s="28"/>
    </row>
    <row r="502" spans="1:7" ht="15.75">
      <c r="A502" s="32"/>
      <c r="B502" s="178"/>
      <c r="C502" s="144" t="s">
        <v>171</v>
      </c>
      <c r="D502" s="26">
        <v>196398</v>
      </c>
      <c r="E502" s="26">
        <v>0</v>
      </c>
      <c r="F502" s="9">
        <f t="shared" si="7"/>
        <v>0</v>
      </c>
      <c r="G502" s="28"/>
    </row>
    <row r="503" spans="1:7" ht="15.75">
      <c r="A503" s="195">
        <v>926</v>
      </c>
      <c r="B503" s="188"/>
      <c r="C503" s="169" t="s">
        <v>103</v>
      </c>
      <c r="D503" s="56">
        <f>D504</f>
        <v>146000</v>
      </c>
      <c r="E503" s="56">
        <f>E504</f>
        <v>91102.69</v>
      </c>
      <c r="F503" s="57">
        <f t="shared" si="7"/>
        <v>0.6239910273972603</v>
      </c>
      <c r="G503" s="28"/>
    </row>
    <row r="504" spans="1:7" ht="15.75">
      <c r="A504" s="196"/>
      <c r="B504" s="195">
        <v>92605</v>
      </c>
      <c r="C504" s="169" t="s">
        <v>104</v>
      </c>
      <c r="D504" s="56">
        <f>D506</f>
        <v>146000</v>
      </c>
      <c r="E504" s="56">
        <f>E506</f>
        <v>91102.69</v>
      </c>
      <c r="F504" s="57">
        <f t="shared" si="7"/>
        <v>0.6239910273972603</v>
      </c>
      <c r="G504" s="28"/>
    </row>
    <row r="505" spans="1:7" ht="15.75">
      <c r="A505" s="196"/>
      <c r="B505" s="196"/>
      <c r="C505" s="79" t="s">
        <v>14</v>
      </c>
      <c r="D505" s="62"/>
      <c r="E505" s="63"/>
      <c r="F505" s="14"/>
      <c r="G505" s="28"/>
    </row>
    <row r="506" spans="1:7" ht="15.75">
      <c r="A506" s="196"/>
      <c r="B506" s="196"/>
      <c r="C506" s="80" t="s">
        <v>21</v>
      </c>
      <c r="D506" s="22">
        <v>146000</v>
      </c>
      <c r="E506" s="11">
        <v>91102.69</v>
      </c>
      <c r="F506" s="9">
        <f t="shared" si="7"/>
        <v>0.6239910273972603</v>
      </c>
      <c r="G506" s="28"/>
    </row>
    <row r="507" spans="1:7" ht="15.75">
      <c r="A507" s="196"/>
      <c r="B507" s="196"/>
      <c r="C507" s="80" t="s">
        <v>107</v>
      </c>
      <c r="D507" s="22">
        <v>107000</v>
      </c>
      <c r="E507" s="11">
        <v>84399.97</v>
      </c>
      <c r="F507" s="9">
        <f t="shared" si="7"/>
        <v>0.7887847663551402</v>
      </c>
      <c r="G507" s="28"/>
    </row>
    <row r="508" spans="1:7" ht="31.5">
      <c r="A508" s="218"/>
      <c r="B508" s="218"/>
      <c r="C508" s="134" t="s">
        <v>149</v>
      </c>
      <c r="D508" s="23">
        <f>D506-D507</f>
        <v>39000</v>
      </c>
      <c r="E508" s="23">
        <f>E506-E507</f>
        <v>6702.720000000001</v>
      </c>
      <c r="F508" s="16">
        <f t="shared" si="7"/>
        <v>0.17186461538461542</v>
      </c>
      <c r="G508" s="28"/>
    </row>
    <row r="509" spans="1:7" ht="15.75">
      <c r="A509" s="206" t="s">
        <v>105</v>
      </c>
      <c r="B509" s="207"/>
      <c r="C509" s="208"/>
      <c r="D509" s="27">
        <f>D7+D14+D33+D42+D49+D67+D103+D127+D134+D143+D253+D277+D355+D378+D476+D503+D487+D99</f>
        <v>173086510</v>
      </c>
      <c r="E509" s="27">
        <f>E7+E14+E33+E42+E49+E67+E103+E127+E134+E143+E253+E277+E355+E378+E476+E503+E487+E99</f>
        <v>68747774.18999998</v>
      </c>
      <c r="F509" s="55">
        <f t="shared" si="7"/>
        <v>0.3971873613374028</v>
      </c>
      <c r="G509" s="28"/>
    </row>
    <row r="510" spans="1:7" ht="15.75">
      <c r="A510" s="209"/>
      <c r="B510" s="40" t="s">
        <v>14</v>
      </c>
      <c r="C510" s="41"/>
      <c r="D510" s="42"/>
      <c r="E510" s="42"/>
      <c r="F510" s="43"/>
      <c r="G510" s="28"/>
    </row>
    <row r="511" spans="1:7" ht="15.75">
      <c r="A511" s="210"/>
      <c r="B511" s="212" t="s">
        <v>106</v>
      </c>
      <c r="C511" s="213"/>
      <c r="D511" s="44">
        <f>D509-D517</f>
        <v>130714319</v>
      </c>
      <c r="E511" s="44">
        <f>E509-E517</f>
        <v>65121236.80999998</v>
      </c>
      <c r="F511" s="45">
        <f aca="true" t="shared" si="8" ref="F511:F517">E511/D511</f>
        <v>0.4981951274213499</v>
      </c>
      <c r="G511" s="36">
        <f>E511+E517</f>
        <v>68747774.18999998</v>
      </c>
    </row>
    <row r="512" spans="1:8" ht="15.75">
      <c r="A512" s="210"/>
      <c r="B512" s="214" t="s">
        <v>150</v>
      </c>
      <c r="C512" s="215"/>
      <c r="D512" s="47">
        <f>D18+D23+D46+D52+D55+D59+D65+D71+D79+D85+D90+D113+D150+D168+D175+D196+D203+D224+D232+D235+D274+D281+D295+D315+D325+D342+D346+D359+D364+D369+D376+D382+D392+D400+D407+D419+D440+D466+D497+D501</f>
        <v>68016424</v>
      </c>
      <c r="E512" s="47">
        <f>E18+E23+E46+E52+E55+E59+E65+E71+E79+E85+E90+E113+E150+E168+E175+E196+E203+E224+E232+E235+E274+E281+E295+E315+E325+E342+E346+E359+E364+E369+E376+E382+E392+E400+E407+E419+E440+E466+E497+E501</f>
        <v>34969541.88000001</v>
      </c>
      <c r="F512" s="48">
        <f t="shared" si="8"/>
        <v>0.5141337903915679</v>
      </c>
      <c r="G512" s="36"/>
      <c r="H512" s="1">
        <f>D511+D517</f>
        <v>173086510</v>
      </c>
    </row>
    <row r="513" spans="1:7" ht="15.75">
      <c r="A513" s="210"/>
      <c r="B513" s="204" t="s">
        <v>107</v>
      </c>
      <c r="C513" s="205"/>
      <c r="D513" s="49">
        <f>D13+D24+D37+D97+D119+D151+D176+D275+D282+D296+D310+D316+D321+D331+D343+D388+D408+D441+D450+D465+D486+D490+D493+D498+D507+D32+D60+D480</f>
        <v>18516306</v>
      </c>
      <c r="E513" s="49">
        <f>E13+E24+E37+E97+E119+E151+E176+E275+E282+E296+E310+E316+E321+E331+E343+E388+E408+E441+E450+E465+E486+E490+E493+E498+E507+E32+E60+E480</f>
        <v>8878455.4</v>
      </c>
      <c r="F513" s="50">
        <f t="shared" si="8"/>
        <v>0.4794938796107604</v>
      </c>
      <c r="G513" s="28"/>
    </row>
    <row r="514" spans="1:7" ht="15.75">
      <c r="A514" s="210"/>
      <c r="B514" s="204" t="s">
        <v>108</v>
      </c>
      <c r="C514" s="205"/>
      <c r="D514" s="49">
        <f>D128</f>
        <v>1928514</v>
      </c>
      <c r="E514" s="49">
        <f>E128</f>
        <v>1043595.46</v>
      </c>
      <c r="F514" s="50">
        <f t="shared" si="8"/>
        <v>0.541139685789162</v>
      </c>
      <c r="G514" s="28"/>
    </row>
    <row r="515" spans="1:7" ht="15.75">
      <c r="A515" s="210"/>
      <c r="B515" s="216" t="s">
        <v>151</v>
      </c>
      <c r="C515" s="217"/>
      <c r="D515" s="131">
        <f>D131</f>
        <v>417759</v>
      </c>
      <c r="E515" s="131">
        <f>E131</f>
        <v>0</v>
      </c>
      <c r="F515" s="50">
        <f t="shared" si="8"/>
        <v>0</v>
      </c>
      <c r="G515" s="28"/>
    </row>
    <row r="516" spans="1:7" ht="15.75">
      <c r="A516" s="210"/>
      <c r="B516" s="204" t="s">
        <v>149</v>
      </c>
      <c r="C516" s="205"/>
      <c r="D516" s="49">
        <f>D10+D19+D25+D38+D41+D47+D58+D66+D72+D75+D80+D86+D91+D93+D106+D109+D114+D115+D123+D126+D137+D138+D141+D142+D152+D169+D177+D197+D204+D225+D233+D236+D261+D276+D283+D297+D317+D326+D335+D344+D347+D365+D370+D377+D383+D393+D401+D409+D417+D420+D442+D456+D467+D499+D501+D508+D311+30373</f>
        <v>41835316</v>
      </c>
      <c r="E516" s="49">
        <f>E10+E19+E25+E38+E41+E47+E58+E66+E72+E75+E80+E86+E91+E93+E106+E109+E114+E115+E123+E126+E137+E138+E141+E142+E152+E169+E177+E197+E204+E225+E233+E236+E261+E276+E283+E297+E317+E326+E335+E344+E347+E365+E370+E377+E383+E393+E401+E409+E417+E420+E442+E456+E467+E499+E501+E508+E311</f>
        <v>20292449.070000008</v>
      </c>
      <c r="F516" s="50">
        <f t="shared" si="8"/>
        <v>0.4850554749006798</v>
      </c>
      <c r="G516" s="28"/>
    </row>
    <row r="517" spans="1:7" ht="15.75">
      <c r="A517" s="211"/>
      <c r="B517" s="212" t="s">
        <v>23</v>
      </c>
      <c r="C517" s="213"/>
      <c r="D517" s="44">
        <f>D26+D48+D81+D139+D153+D178+D258+D298+D327+D371+D140+D291+D360+D482+D146</f>
        <v>42372191</v>
      </c>
      <c r="E517" s="44">
        <f>E26+E48+E81+E139+E153+E178+E258+E298+E327+E371+E140+E291+E360+E482+E146</f>
        <v>3626537.3800000004</v>
      </c>
      <c r="F517" s="46">
        <f t="shared" si="8"/>
        <v>0.0855876765966622</v>
      </c>
      <c r="G517" s="28"/>
    </row>
    <row r="518" spans="1:7" ht="15.75">
      <c r="A518" s="28"/>
      <c r="B518" s="28"/>
      <c r="C518" s="28"/>
      <c r="D518" s="28"/>
      <c r="E518" s="28"/>
      <c r="F518" s="28"/>
      <c r="G518" s="28"/>
    </row>
    <row r="519" spans="1:7" ht="15.75">
      <c r="A519" s="28"/>
      <c r="B519" s="28"/>
      <c r="C519" s="28" t="s">
        <v>142</v>
      </c>
      <c r="D519" s="36">
        <f>D18+D23+D46+D52+D55+D59+D65+D71+D79+D85+D90+D113+D150+D168+D175+D196+D203+D224+D232+D235+D274+D281+D295+D315+D325+D342+D346+D359+D364+D369+D376+D382+D392+D400+D407+D419+D440+D466+D497+D501</f>
        <v>68016424</v>
      </c>
      <c r="E519" s="36">
        <f>E18+E23+E46+E52+E55+E59+E65+E71+E79+E85+E90+E113+E150+E168+E175+E196+E203+E224+E232+E235+E274+E281+E295+E315+E325+E342+E346+E359+E364+E369+E376+E382+E392+E400+E407+E419+E440+E466+E497+E501</f>
        <v>34969541.88000001</v>
      </c>
      <c r="F519" s="28"/>
      <c r="G519" s="28"/>
    </row>
    <row r="520" spans="1:7" ht="15.75">
      <c r="A520" s="28"/>
      <c r="B520" s="28"/>
      <c r="C520" s="28" t="s">
        <v>145</v>
      </c>
      <c r="D520" s="36">
        <f>D13+D24+D37+D97+D119+D151+D176+D275+D282+D296+D310+D316+D321+D331+D343+D388+D408+D441+D450+D465+D486+D490+D493+D498+D507+D32+D60+D480</f>
        <v>18516306</v>
      </c>
      <c r="E520" s="36">
        <f>E13+E24+E37+E97+E119+E151+E176+E275+E282+E296+E310+E316+E321+E331+E343+E388+E408+E441+E450+E465+E486+E490+E493+E498+E507+E32+E60+E480</f>
        <v>8878455.4</v>
      </c>
      <c r="F520" s="28"/>
      <c r="G520" s="28"/>
    </row>
    <row r="521" spans="1:7" ht="15.75">
      <c r="A521" s="28"/>
      <c r="B521" s="28"/>
      <c r="C521" s="28" t="s">
        <v>146</v>
      </c>
      <c r="D521" s="36">
        <f>D10+D19+D25+D38+D41+D47+D58+D66+D72+D75+D80+D86+D91+D93+D106+D109+D114+D115+D123+D126+D137+D138+D141+D142+D152+D169+D177+D197+D204+D225+D233+D236+D261+D276+D283+D297+D317+D326+D335+D344+D347+D365+D370+D377+D383+D393+D401+D409+D417+D420+D442+D456+D467+D499+D501+D508+D311+30373</f>
        <v>41835316</v>
      </c>
      <c r="E521" s="36">
        <f>E10+E19+E25+E38+E41+E47+E58+E66+E72+E75+E80+E86+E91+E93+E106+E109+E114+E115+E123+E126+E137+E138+E141+E142+E152+E169+E177+E197+E204+E225+E233+E236+E261+E276+E283+E297+E317+E326+E335+E344+E347+E365+E370+E377+E383+E393+E401+E409+E417+E420+E442+E456+E467+E499+E501+E508</f>
        <v>20242456.28000001</v>
      </c>
      <c r="F521" s="28"/>
      <c r="G521" s="28"/>
    </row>
    <row r="522" spans="1:7" ht="15.75">
      <c r="A522" s="28"/>
      <c r="B522" s="28"/>
      <c r="C522" s="28" t="s">
        <v>144</v>
      </c>
      <c r="D522" s="36">
        <f>D26+D48+D81+D139+D153+D178+D258+D298+D327+D371+D140+D291+D360+D482+D146</f>
        <v>42372191</v>
      </c>
      <c r="E522" s="36">
        <f>E26+E48+E81+E139+E153+E178+E258+E298+E327+E371</f>
        <v>3609127.3800000004</v>
      </c>
      <c r="F522" s="28"/>
      <c r="G522" s="28"/>
    </row>
    <row r="523" spans="1:7" ht="15.75">
      <c r="A523" s="28"/>
      <c r="B523" s="28"/>
      <c r="C523" s="28" t="s">
        <v>178</v>
      </c>
      <c r="D523" s="36">
        <f>D514+D515</f>
        <v>2346273</v>
      </c>
      <c r="E523" s="36">
        <f>E514+E515</f>
        <v>1043595.46</v>
      </c>
      <c r="F523" s="28"/>
      <c r="G523" s="28"/>
    </row>
    <row r="524" spans="1:7" ht="15.75">
      <c r="A524" s="28"/>
      <c r="B524" s="28"/>
      <c r="C524" s="28"/>
      <c r="D524" s="36"/>
      <c r="E524" s="28"/>
      <c r="F524" s="28"/>
      <c r="G524" s="28"/>
    </row>
    <row r="525" spans="1:7" ht="15.75">
      <c r="A525" s="28"/>
      <c r="B525" s="28"/>
      <c r="C525" s="28"/>
      <c r="D525" s="36">
        <f>D10+D19+D25+D38+D41+D47+D61+D66+D72+D75+D80+D86+D91+D92+D102+D109+D114+D123+D126+D137+D138+D141+D142+D152+D177+D197+D204+D225+D233+D236+D257+D261+D276+D283+D297+D311+D326+D332+D335+D344+D347+D365+D370+D377+D393+D401+D409+D417+D420+D442+D456+D467+D481+D499+D502+D508</f>
        <v>36930873</v>
      </c>
      <c r="E525" s="28"/>
      <c r="F525" s="28"/>
      <c r="G525" s="28"/>
    </row>
    <row r="526" spans="1:7" ht="15.75">
      <c r="A526" s="28"/>
      <c r="B526" s="28"/>
      <c r="C526" s="28"/>
      <c r="D526" s="36"/>
      <c r="E526" s="28"/>
      <c r="F526" s="28"/>
      <c r="G526" s="28"/>
    </row>
    <row r="527" spans="1:7" ht="15.75">
      <c r="A527" s="28"/>
      <c r="B527" s="28"/>
      <c r="C527" s="28"/>
      <c r="D527" s="28"/>
      <c r="E527" s="28"/>
      <c r="F527" s="28"/>
      <c r="G527" s="28"/>
    </row>
    <row r="528" spans="1:7" ht="15.75">
      <c r="A528" s="28"/>
      <c r="B528" s="28"/>
      <c r="C528" s="28"/>
      <c r="D528" s="28"/>
      <c r="E528" s="28"/>
      <c r="F528" s="28"/>
      <c r="G528" s="28"/>
    </row>
    <row r="529" spans="1:7" ht="15.75">
      <c r="A529" s="28"/>
      <c r="B529" s="28"/>
      <c r="C529" s="28"/>
      <c r="D529" s="28"/>
      <c r="E529" s="28"/>
      <c r="F529" s="28"/>
      <c r="G529" s="28"/>
    </row>
    <row r="530" spans="1:7" ht="15.75">
      <c r="A530" s="28"/>
      <c r="B530" s="28"/>
      <c r="C530" s="28"/>
      <c r="D530" s="28"/>
      <c r="E530" s="28"/>
      <c r="F530" s="28"/>
      <c r="G530" s="28"/>
    </row>
    <row r="531" spans="1:7" ht="15.75">
      <c r="A531" s="28"/>
      <c r="B531" s="28"/>
      <c r="C531" s="28"/>
      <c r="D531" s="28"/>
      <c r="E531" s="28"/>
      <c r="F531" s="28"/>
      <c r="G531" s="28"/>
    </row>
    <row r="532" spans="1:7" ht="15.75">
      <c r="A532" s="28"/>
      <c r="B532" s="28"/>
      <c r="C532" s="28"/>
      <c r="D532" s="28"/>
      <c r="E532" s="28"/>
      <c r="F532" s="28"/>
      <c r="G532" s="28"/>
    </row>
    <row r="533" spans="1:7" ht="15.75">
      <c r="A533" s="28"/>
      <c r="B533" s="28"/>
      <c r="C533" s="28"/>
      <c r="D533" s="28"/>
      <c r="E533" s="28"/>
      <c r="F533" s="28"/>
      <c r="G533" s="28"/>
    </row>
    <row r="534" spans="1:7" ht="15.75">
      <c r="A534" s="28"/>
      <c r="B534" s="28"/>
      <c r="C534" s="28"/>
      <c r="D534" s="28"/>
      <c r="E534" s="28"/>
      <c r="F534" s="28"/>
      <c r="G534" s="28"/>
    </row>
    <row r="535" spans="1:7" ht="15.75">
      <c r="A535" s="28"/>
      <c r="B535" s="28"/>
      <c r="C535" s="28"/>
      <c r="D535" s="28"/>
      <c r="E535" s="28"/>
      <c r="F535" s="28"/>
      <c r="G535" s="28"/>
    </row>
    <row r="536" spans="1:7" ht="15.75">
      <c r="A536" s="28"/>
      <c r="B536" s="28"/>
      <c r="C536" s="28"/>
      <c r="D536" s="28"/>
      <c r="E536" s="28"/>
      <c r="F536" s="28"/>
      <c r="G536" s="28"/>
    </row>
    <row r="537" spans="1:7" ht="15.75">
      <c r="A537" s="28"/>
      <c r="B537" s="28"/>
      <c r="C537" s="28"/>
      <c r="D537" s="28"/>
      <c r="E537" s="28"/>
      <c r="F537" s="28"/>
      <c r="G537" s="28"/>
    </row>
    <row r="538" spans="1:7" ht="15.75">
      <c r="A538" s="28"/>
      <c r="B538" s="28"/>
      <c r="C538" s="28"/>
      <c r="D538" s="28"/>
      <c r="E538" s="28"/>
      <c r="F538" s="28"/>
      <c r="G538" s="28"/>
    </row>
    <row r="539" spans="1:7" ht="15.75">
      <c r="A539" s="28"/>
      <c r="B539" s="28"/>
      <c r="C539" s="28"/>
      <c r="D539" s="28"/>
      <c r="E539" s="28"/>
      <c r="F539" s="28"/>
      <c r="G539" s="28"/>
    </row>
    <row r="540" spans="1:7" ht="15.75">
      <c r="A540" s="28"/>
      <c r="B540" s="28"/>
      <c r="C540" s="28"/>
      <c r="D540" s="28"/>
      <c r="E540" s="28"/>
      <c r="F540" s="28"/>
      <c r="G540" s="28"/>
    </row>
    <row r="541" spans="1:7" ht="15.75">
      <c r="A541" s="28"/>
      <c r="B541" s="28"/>
      <c r="C541" s="28"/>
      <c r="D541" s="28"/>
      <c r="E541" s="28"/>
      <c r="F541" s="28"/>
      <c r="G541" s="28"/>
    </row>
    <row r="542" spans="1:7" ht="15.75">
      <c r="A542" s="28"/>
      <c r="B542" s="28"/>
      <c r="C542" s="28"/>
      <c r="D542" s="28"/>
      <c r="E542" s="28"/>
      <c r="F542" s="28"/>
      <c r="G542" s="28"/>
    </row>
    <row r="543" spans="1:7" ht="15.75">
      <c r="A543" s="28"/>
      <c r="B543" s="28"/>
      <c r="C543" s="28"/>
      <c r="D543" s="28"/>
      <c r="E543" s="28"/>
      <c r="F543" s="28"/>
      <c r="G543" s="28"/>
    </row>
    <row r="544" spans="1:7" ht="15.75">
      <c r="A544" s="28"/>
      <c r="B544" s="28"/>
      <c r="C544" s="28"/>
      <c r="D544" s="28"/>
      <c r="E544" s="28"/>
      <c r="F544" s="28"/>
      <c r="G544" s="28"/>
    </row>
    <row r="545" spans="1:7" ht="15.75">
      <c r="A545" s="28"/>
      <c r="B545" s="28"/>
      <c r="C545" s="28"/>
      <c r="D545" s="28"/>
      <c r="E545" s="28"/>
      <c r="F545" s="28"/>
      <c r="G545" s="28"/>
    </row>
    <row r="546" spans="1:7" ht="15.75">
      <c r="A546" s="28"/>
      <c r="B546" s="28"/>
      <c r="C546" s="28"/>
      <c r="D546" s="28"/>
      <c r="E546" s="28"/>
      <c r="F546" s="28"/>
      <c r="G546" s="28"/>
    </row>
    <row r="547" spans="1:7" ht="15.75">
      <c r="A547" s="28"/>
      <c r="B547" s="28"/>
      <c r="C547" s="28"/>
      <c r="D547" s="28"/>
      <c r="E547" s="28"/>
      <c r="F547" s="28"/>
      <c r="G547" s="28"/>
    </row>
    <row r="548" spans="1:7" ht="15.75">
      <c r="A548" s="28"/>
      <c r="B548" s="28"/>
      <c r="C548" s="28"/>
      <c r="D548" s="28"/>
      <c r="E548" s="28"/>
      <c r="F548" s="28"/>
      <c r="G548" s="28"/>
    </row>
    <row r="549" spans="1:7" ht="15.75">
      <c r="A549" s="28"/>
      <c r="B549" s="28"/>
      <c r="C549" s="28"/>
      <c r="D549" s="28"/>
      <c r="E549" s="28"/>
      <c r="F549" s="28"/>
      <c r="G549" s="28"/>
    </row>
    <row r="550" spans="1:7" ht="15.75">
      <c r="A550" s="28"/>
      <c r="B550" s="28"/>
      <c r="C550" s="28"/>
      <c r="D550" s="28"/>
      <c r="E550" s="28"/>
      <c r="F550" s="28"/>
      <c r="G550" s="28"/>
    </row>
    <row r="551" spans="1:7" ht="15.75">
      <c r="A551" s="28"/>
      <c r="B551" s="28"/>
      <c r="C551" s="28"/>
      <c r="D551" s="28"/>
      <c r="E551" s="28"/>
      <c r="F551" s="28"/>
      <c r="G551" s="28"/>
    </row>
    <row r="552" spans="1:7" ht="15.75">
      <c r="A552" s="28"/>
      <c r="B552" s="28"/>
      <c r="C552" s="28"/>
      <c r="D552" s="28"/>
      <c r="E552" s="28"/>
      <c r="F552" s="28"/>
      <c r="G552" s="28"/>
    </row>
    <row r="553" spans="1:7" ht="15.75">
      <c r="A553" s="28"/>
      <c r="B553" s="28"/>
      <c r="C553" s="28"/>
      <c r="D553" s="28"/>
      <c r="E553" s="28"/>
      <c r="F553" s="28"/>
      <c r="G553" s="28"/>
    </row>
    <row r="554" spans="1:7" ht="15.75">
      <c r="A554" s="28"/>
      <c r="B554" s="28"/>
      <c r="C554" s="28"/>
      <c r="D554" s="28"/>
      <c r="E554" s="28"/>
      <c r="F554" s="28"/>
      <c r="G554" s="28"/>
    </row>
    <row r="555" spans="1:7" ht="15.75">
      <c r="A555" s="28"/>
      <c r="B555" s="28"/>
      <c r="C555" s="28"/>
      <c r="D555" s="28"/>
      <c r="E555" s="28"/>
      <c r="F555" s="28"/>
      <c r="G555" s="28"/>
    </row>
    <row r="556" spans="1:7" ht="15.75">
      <c r="A556" s="28"/>
      <c r="B556" s="28"/>
      <c r="C556" s="28"/>
      <c r="D556" s="28"/>
      <c r="E556" s="28"/>
      <c r="F556" s="28"/>
      <c r="G556" s="28"/>
    </row>
    <row r="557" spans="1:7" ht="15.75">
      <c r="A557" s="28"/>
      <c r="B557" s="28"/>
      <c r="C557" s="28"/>
      <c r="D557" s="28"/>
      <c r="E557" s="28"/>
      <c r="F557" s="28"/>
      <c r="G557" s="28"/>
    </row>
    <row r="558" spans="1:7" ht="15.75">
      <c r="A558" s="28"/>
      <c r="B558" s="28"/>
      <c r="C558" s="28"/>
      <c r="D558" s="28"/>
      <c r="E558" s="28"/>
      <c r="F558" s="28"/>
      <c r="G558" s="28"/>
    </row>
    <row r="559" spans="1:7" ht="15.75">
      <c r="A559" s="28"/>
      <c r="B559" s="28"/>
      <c r="C559" s="28"/>
      <c r="D559" s="28"/>
      <c r="E559" s="28"/>
      <c r="F559" s="28"/>
      <c r="G559" s="28"/>
    </row>
    <row r="560" spans="1:7" ht="15.75">
      <c r="A560" s="28"/>
      <c r="B560" s="28"/>
      <c r="C560" s="28"/>
      <c r="D560" s="28"/>
      <c r="E560" s="28"/>
      <c r="F560" s="28"/>
      <c r="G560" s="28"/>
    </row>
    <row r="561" spans="1:7" ht="15.75">
      <c r="A561" s="28"/>
      <c r="B561" s="28"/>
      <c r="C561" s="28"/>
      <c r="D561" s="28"/>
      <c r="E561" s="28"/>
      <c r="F561" s="28"/>
      <c r="G561" s="28"/>
    </row>
    <row r="562" spans="1:7" ht="15.75">
      <c r="A562" s="28"/>
      <c r="B562" s="28"/>
      <c r="C562" s="28"/>
      <c r="D562" s="28"/>
      <c r="E562" s="28"/>
      <c r="F562" s="28"/>
      <c r="G562" s="28"/>
    </row>
    <row r="563" spans="1:7" ht="15.75">
      <c r="A563" s="28"/>
      <c r="B563" s="28"/>
      <c r="C563" s="28"/>
      <c r="D563" s="28"/>
      <c r="E563" s="28"/>
      <c r="F563" s="28"/>
      <c r="G563" s="28"/>
    </row>
    <row r="564" spans="1:7" ht="15.75">
      <c r="A564" s="28"/>
      <c r="B564" s="28"/>
      <c r="C564" s="28"/>
      <c r="D564" s="28"/>
      <c r="E564" s="28"/>
      <c r="F564" s="28"/>
      <c r="G564" s="28"/>
    </row>
    <row r="565" spans="1:7" ht="15.75">
      <c r="A565" s="28"/>
      <c r="B565" s="28"/>
      <c r="C565" s="28"/>
      <c r="D565" s="28"/>
      <c r="E565" s="28"/>
      <c r="F565" s="28"/>
      <c r="G565" s="28"/>
    </row>
    <row r="566" spans="1:7" ht="15.75">
      <c r="A566" s="28"/>
      <c r="B566" s="28"/>
      <c r="C566" s="28"/>
      <c r="D566" s="28"/>
      <c r="E566" s="28"/>
      <c r="F566" s="28"/>
      <c r="G566" s="28"/>
    </row>
    <row r="567" spans="1:7" ht="15.75">
      <c r="A567" s="28"/>
      <c r="B567" s="28"/>
      <c r="C567" s="28"/>
      <c r="D567" s="28"/>
      <c r="E567" s="28"/>
      <c r="F567" s="28"/>
      <c r="G567" s="28"/>
    </row>
    <row r="568" spans="1:7" ht="15.75">
      <c r="A568" s="28"/>
      <c r="B568" s="28"/>
      <c r="C568" s="28"/>
      <c r="D568" s="28"/>
      <c r="E568" s="28"/>
      <c r="F568" s="28"/>
      <c r="G568" s="28"/>
    </row>
    <row r="569" spans="1:7" ht="15.75">
      <c r="A569" s="28"/>
      <c r="B569" s="28"/>
      <c r="C569" s="28"/>
      <c r="D569" s="28"/>
      <c r="E569" s="28"/>
      <c r="F569" s="28"/>
      <c r="G569" s="28"/>
    </row>
    <row r="570" spans="1:7" ht="15.75">
      <c r="A570" s="28"/>
      <c r="B570" s="28"/>
      <c r="C570" s="28"/>
      <c r="D570" s="28"/>
      <c r="E570" s="28"/>
      <c r="F570" s="28"/>
      <c r="G570" s="28"/>
    </row>
    <row r="571" spans="1:7" ht="15.75">
      <c r="A571" s="28"/>
      <c r="B571" s="28"/>
      <c r="C571" s="28"/>
      <c r="D571" s="28"/>
      <c r="E571" s="28"/>
      <c r="F571" s="28"/>
      <c r="G571" s="28"/>
    </row>
    <row r="572" spans="1:7" ht="15.75">
      <c r="A572" s="28"/>
      <c r="B572" s="28"/>
      <c r="C572" s="28"/>
      <c r="D572" s="28"/>
      <c r="E572" s="28"/>
      <c r="F572" s="28"/>
      <c r="G572" s="28"/>
    </row>
    <row r="573" spans="1:7" ht="15.75">
      <c r="A573" s="28"/>
      <c r="B573" s="28"/>
      <c r="C573" s="28"/>
      <c r="D573" s="28"/>
      <c r="E573" s="28"/>
      <c r="F573" s="28"/>
      <c r="G573" s="28"/>
    </row>
    <row r="574" spans="1:7" ht="15.75">
      <c r="A574" s="28"/>
      <c r="B574" s="28"/>
      <c r="C574" s="28"/>
      <c r="D574" s="28"/>
      <c r="E574" s="28"/>
      <c r="F574" s="28"/>
      <c r="G574" s="28"/>
    </row>
    <row r="575" spans="1:7" ht="15.75">
      <c r="A575" s="28"/>
      <c r="B575" s="28"/>
      <c r="C575" s="28"/>
      <c r="D575" s="28"/>
      <c r="E575" s="28"/>
      <c r="F575" s="28"/>
      <c r="G575" s="28"/>
    </row>
    <row r="576" spans="1:7" ht="15.75">
      <c r="A576" s="28"/>
      <c r="B576" s="28"/>
      <c r="C576" s="28"/>
      <c r="D576" s="28"/>
      <c r="E576" s="28"/>
      <c r="F576" s="28"/>
      <c r="G576" s="28"/>
    </row>
    <row r="577" spans="1:7" ht="15.75">
      <c r="A577" s="28"/>
      <c r="B577" s="28"/>
      <c r="C577" s="28"/>
      <c r="D577" s="28"/>
      <c r="E577" s="28"/>
      <c r="F577" s="28"/>
      <c r="G577" s="28"/>
    </row>
    <row r="578" spans="1:7" ht="15.75">
      <c r="A578" s="28"/>
      <c r="B578" s="28"/>
      <c r="C578" s="28"/>
      <c r="D578" s="28"/>
      <c r="E578" s="28"/>
      <c r="F578" s="28"/>
      <c r="G578" s="28"/>
    </row>
    <row r="579" spans="1:7" ht="15.75">
      <c r="A579" s="28"/>
      <c r="B579" s="28"/>
      <c r="C579" s="28"/>
      <c r="D579" s="28"/>
      <c r="E579" s="28"/>
      <c r="F579" s="28"/>
      <c r="G579" s="28"/>
    </row>
    <row r="580" spans="1:7" ht="15.75">
      <c r="A580" s="28"/>
      <c r="B580" s="28"/>
      <c r="C580" s="28"/>
      <c r="D580" s="28"/>
      <c r="E580" s="28"/>
      <c r="F580" s="28"/>
      <c r="G580" s="28"/>
    </row>
    <row r="581" spans="1:7" ht="15.75">
      <c r="A581" s="28"/>
      <c r="B581" s="28"/>
      <c r="C581" s="28"/>
      <c r="D581" s="28"/>
      <c r="E581" s="28"/>
      <c r="F581" s="28"/>
      <c r="G581" s="28"/>
    </row>
    <row r="582" spans="1:7" ht="15.75">
      <c r="A582" s="28"/>
      <c r="B582" s="28"/>
      <c r="C582" s="28"/>
      <c r="D582" s="28"/>
      <c r="E582" s="28"/>
      <c r="F582" s="28"/>
      <c r="G582" s="28"/>
    </row>
    <row r="583" spans="1:7" ht="15.75">
      <c r="A583" s="28"/>
      <c r="B583" s="28"/>
      <c r="C583" s="28"/>
      <c r="D583" s="28"/>
      <c r="E583" s="28"/>
      <c r="F583" s="28"/>
      <c r="G583" s="28"/>
    </row>
    <row r="584" spans="1:7" ht="15.75">
      <c r="A584" s="28"/>
      <c r="B584" s="28"/>
      <c r="C584" s="28"/>
      <c r="D584" s="28"/>
      <c r="E584" s="28"/>
      <c r="F584" s="28"/>
      <c r="G584" s="28"/>
    </row>
    <row r="585" spans="1:7" ht="15.75">
      <c r="A585" s="28"/>
      <c r="B585" s="28"/>
      <c r="C585" s="28"/>
      <c r="D585" s="28"/>
      <c r="E585" s="28"/>
      <c r="F585" s="28"/>
      <c r="G585" s="28"/>
    </row>
    <row r="586" spans="1:7" ht="15.75">
      <c r="A586" s="28"/>
      <c r="B586" s="28"/>
      <c r="C586" s="28"/>
      <c r="D586" s="28"/>
      <c r="E586" s="28"/>
      <c r="F586" s="28"/>
      <c r="G586" s="28"/>
    </row>
    <row r="587" spans="1:7" ht="15.75">
      <c r="A587" s="28"/>
      <c r="B587" s="28"/>
      <c r="C587" s="28"/>
      <c r="D587" s="28"/>
      <c r="E587" s="28"/>
      <c r="F587" s="28"/>
      <c r="G587" s="28"/>
    </row>
    <row r="588" spans="1:7" ht="15.75">
      <c r="A588" s="28"/>
      <c r="B588" s="28"/>
      <c r="C588" s="28"/>
      <c r="D588" s="28"/>
      <c r="E588" s="28"/>
      <c r="F588" s="28"/>
      <c r="G588" s="28"/>
    </row>
    <row r="589" spans="1:7" ht="15.75">
      <c r="A589" s="28"/>
      <c r="B589" s="28"/>
      <c r="C589" s="28"/>
      <c r="D589" s="28"/>
      <c r="E589" s="28"/>
      <c r="F589" s="28"/>
      <c r="G589" s="28"/>
    </row>
    <row r="590" spans="1:7" ht="15.75">
      <c r="A590" s="28"/>
      <c r="B590" s="28"/>
      <c r="C590" s="28"/>
      <c r="D590" s="28"/>
      <c r="E590" s="28"/>
      <c r="F590" s="28"/>
      <c r="G590" s="28"/>
    </row>
    <row r="591" spans="1:7" ht="15.75">
      <c r="A591" s="28"/>
      <c r="B591" s="28"/>
      <c r="C591" s="28"/>
      <c r="D591" s="28"/>
      <c r="E591" s="28"/>
      <c r="F591" s="28"/>
      <c r="G591" s="28"/>
    </row>
    <row r="592" spans="1:7" ht="15.75">
      <c r="A592" s="28"/>
      <c r="B592" s="28"/>
      <c r="C592" s="28"/>
      <c r="D592" s="28"/>
      <c r="E592" s="28"/>
      <c r="F592" s="28"/>
      <c r="G592" s="28"/>
    </row>
    <row r="593" spans="1:7" ht="15.75">
      <c r="A593" s="28"/>
      <c r="B593" s="28"/>
      <c r="C593" s="28"/>
      <c r="D593" s="28"/>
      <c r="E593" s="28"/>
      <c r="F593" s="28"/>
      <c r="G593" s="28"/>
    </row>
    <row r="594" spans="1:7" ht="15.75">
      <c r="A594" s="28"/>
      <c r="B594" s="28"/>
      <c r="C594" s="28"/>
      <c r="D594" s="28"/>
      <c r="E594" s="28"/>
      <c r="F594" s="28"/>
      <c r="G594" s="28"/>
    </row>
    <row r="595" spans="1:7" ht="15.75">
      <c r="A595" s="28"/>
      <c r="B595" s="28"/>
      <c r="C595" s="28"/>
      <c r="D595" s="28"/>
      <c r="E595" s="28"/>
      <c r="F595" s="28"/>
      <c r="G595" s="28"/>
    </row>
    <row r="596" spans="1:7" ht="15.75">
      <c r="A596" s="28"/>
      <c r="B596" s="28"/>
      <c r="C596" s="28"/>
      <c r="D596" s="28"/>
      <c r="E596" s="28"/>
      <c r="F596" s="28"/>
      <c r="G596" s="28"/>
    </row>
    <row r="597" spans="1:7" ht="15.75">
      <c r="A597" s="28"/>
      <c r="B597" s="28"/>
      <c r="C597" s="28"/>
      <c r="D597" s="28"/>
      <c r="E597" s="28"/>
      <c r="F597" s="28"/>
      <c r="G597" s="28"/>
    </row>
    <row r="598" spans="1:7" ht="15.75">
      <c r="A598" s="28"/>
      <c r="B598" s="28"/>
      <c r="C598" s="28"/>
      <c r="D598" s="28"/>
      <c r="E598" s="28"/>
      <c r="F598" s="28"/>
      <c r="G598" s="28"/>
    </row>
    <row r="599" spans="1:7" ht="15.75">
      <c r="A599" s="28"/>
      <c r="B599" s="28"/>
      <c r="C599" s="28"/>
      <c r="D599" s="28"/>
      <c r="E599" s="28"/>
      <c r="F599" s="28"/>
      <c r="G599" s="28"/>
    </row>
    <row r="600" spans="1:7" ht="15.75">
      <c r="A600" s="28"/>
      <c r="B600" s="28"/>
      <c r="C600" s="28"/>
      <c r="D600" s="28"/>
      <c r="E600" s="28"/>
      <c r="F600" s="28"/>
      <c r="G600" s="28"/>
    </row>
    <row r="601" spans="1:7" ht="15.75">
      <c r="A601" s="28"/>
      <c r="B601" s="28"/>
      <c r="C601" s="28"/>
      <c r="D601" s="28"/>
      <c r="E601" s="28"/>
      <c r="F601" s="28"/>
      <c r="G601" s="28"/>
    </row>
    <row r="602" spans="1:7" ht="15.75">
      <c r="A602" s="28"/>
      <c r="B602" s="28"/>
      <c r="C602" s="28"/>
      <c r="D602" s="28"/>
      <c r="E602" s="28"/>
      <c r="F602" s="28"/>
      <c r="G602" s="28"/>
    </row>
    <row r="603" spans="1:7" ht="15.75">
      <c r="A603" s="28"/>
      <c r="B603" s="28"/>
      <c r="C603" s="28"/>
      <c r="D603" s="28"/>
      <c r="E603" s="28"/>
      <c r="F603" s="28"/>
      <c r="G603" s="28"/>
    </row>
    <row r="604" spans="1:7" ht="15.75">
      <c r="A604" s="28"/>
      <c r="B604" s="28"/>
      <c r="C604" s="28"/>
      <c r="D604" s="28"/>
      <c r="E604" s="28"/>
      <c r="F604" s="28"/>
      <c r="G604" s="28"/>
    </row>
    <row r="605" spans="1:7" ht="15.75">
      <c r="A605" s="28"/>
      <c r="B605" s="28"/>
      <c r="C605" s="28"/>
      <c r="D605" s="28"/>
      <c r="E605" s="28"/>
      <c r="F605" s="28"/>
      <c r="G605" s="28"/>
    </row>
    <row r="606" spans="1:7" ht="15.75">
      <c r="A606" s="28"/>
      <c r="B606" s="28"/>
      <c r="C606" s="28"/>
      <c r="D606" s="28"/>
      <c r="E606" s="28"/>
      <c r="F606" s="28"/>
      <c r="G606" s="28"/>
    </row>
    <row r="607" spans="1:7" ht="15.75">
      <c r="A607" s="28"/>
      <c r="B607" s="28"/>
      <c r="C607" s="28"/>
      <c r="D607" s="28"/>
      <c r="E607" s="28"/>
      <c r="F607" s="28"/>
      <c r="G607" s="28"/>
    </row>
    <row r="608" spans="1:7" ht="15.75">
      <c r="A608" s="28"/>
      <c r="B608" s="28"/>
      <c r="C608" s="28"/>
      <c r="D608" s="28"/>
      <c r="E608" s="28"/>
      <c r="F608" s="28"/>
      <c r="G608" s="28"/>
    </row>
    <row r="609" spans="1:7" ht="15.75">
      <c r="A609" s="28"/>
      <c r="B609" s="28"/>
      <c r="C609" s="28"/>
      <c r="D609" s="28"/>
      <c r="E609" s="28"/>
      <c r="F609" s="28"/>
      <c r="G609" s="28"/>
    </row>
    <row r="610" spans="1:7" ht="15.75">
      <c r="A610" s="28"/>
      <c r="B610" s="28"/>
      <c r="C610" s="28"/>
      <c r="D610" s="28"/>
      <c r="E610" s="28"/>
      <c r="F610" s="28"/>
      <c r="G610" s="28"/>
    </row>
    <row r="611" spans="1:7" ht="15.75">
      <c r="A611" s="28"/>
      <c r="B611" s="28"/>
      <c r="C611" s="28"/>
      <c r="D611" s="28"/>
      <c r="E611" s="28"/>
      <c r="F611" s="28"/>
      <c r="G611" s="28"/>
    </row>
    <row r="612" spans="1:7" ht="15.75">
      <c r="A612" s="28"/>
      <c r="B612" s="28"/>
      <c r="C612" s="28"/>
      <c r="D612" s="28"/>
      <c r="E612" s="28"/>
      <c r="F612" s="28"/>
      <c r="G612" s="28"/>
    </row>
    <row r="613" spans="1:7" ht="15.75">
      <c r="A613" s="28"/>
      <c r="B613" s="28"/>
      <c r="C613" s="28"/>
      <c r="D613" s="28"/>
      <c r="E613" s="28"/>
      <c r="F613" s="28"/>
      <c r="G613" s="28"/>
    </row>
    <row r="614" spans="1:7" ht="15.75">
      <c r="A614" s="28"/>
      <c r="B614" s="28"/>
      <c r="C614" s="28"/>
      <c r="D614" s="28"/>
      <c r="E614" s="28"/>
      <c r="F614" s="28"/>
      <c r="G614" s="28"/>
    </row>
    <row r="615" spans="1:7" ht="15.75">
      <c r="A615" s="28"/>
      <c r="B615" s="28"/>
      <c r="C615" s="28"/>
      <c r="D615" s="28"/>
      <c r="E615" s="28"/>
      <c r="F615" s="28"/>
      <c r="G615" s="28"/>
    </row>
    <row r="616" spans="1:7" ht="15.75">
      <c r="A616" s="28"/>
      <c r="B616" s="28"/>
      <c r="C616" s="28"/>
      <c r="D616" s="28"/>
      <c r="E616" s="28"/>
      <c r="F616" s="28"/>
      <c r="G616" s="28"/>
    </row>
    <row r="617" spans="1:7" ht="15.75">
      <c r="A617" s="28"/>
      <c r="B617" s="28"/>
      <c r="C617" s="28"/>
      <c r="D617" s="28"/>
      <c r="E617" s="28"/>
      <c r="F617" s="28"/>
      <c r="G617" s="28"/>
    </row>
    <row r="618" spans="1:7" ht="15.75">
      <c r="A618" s="28"/>
      <c r="B618" s="28"/>
      <c r="C618" s="28"/>
      <c r="D618" s="28"/>
      <c r="E618" s="28"/>
      <c r="F618" s="28"/>
      <c r="G618" s="28"/>
    </row>
    <row r="619" spans="1:7" ht="15.75">
      <c r="A619" s="28"/>
      <c r="B619" s="28"/>
      <c r="C619" s="28"/>
      <c r="D619" s="28"/>
      <c r="E619" s="28"/>
      <c r="F619" s="28"/>
      <c r="G619" s="28"/>
    </row>
  </sheetData>
  <sheetProtection/>
  <autoFilter ref="A5:H517"/>
  <mergeCells count="56">
    <mergeCell ref="B131:B133"/>
    <mergeCell ref="E1:F1"/>
    <mergeCell ref="A2:F2"/>
    <mergeCell ref="A3:F3"/>
    <mergeCell ref="A7:A13"/>
    <mergeCell ref="B8:B10"/>
    <mergeCell ref="B11:B13"/>
    <mergeCell ref="B113:B114"/>
    <mergeCell ref="A33:A41"/>
    <mergeCell ref="B34:B38"/>
    <mergeCell ref="B513:C513"/>
    <mergeCell ref="B517:C517"/>
    <mergeCell ref="B515:C515"/>
    <mergeCell ref="A503:A508"/>
    <mergeCell ref="B504:B508"/>
    <mergeCell ref="B404:B412"/>
    <mergeCell ref="B444:B447"/>
    <mergeCell ref="A462:A475"/>
    <mergeCell ref="B462:B475"/>
    <mergeCell ref="C402:D402"/>
    <mergeCell ref="A378:A385"/>
    <mergeCell ref="B379:B385"/>
    <mergeCell ref="C384:D384"/>
    <mergeCell ref="B514:C514"/>
    <mergeCell ref="B516:C516"/>
    <mergeCell ref="A509:C509"/>
    <mergeCell ref="A510:A517"/>
    <mergeCell ref="B511:C511"/>
    <mergeCell ref="B512:C512"/>
    <mergeCell ref="B94:B97"/>
    <mergeCell ref="B128:B130"/>
    <mergeCell ref="A366:A370"/>
    <mergeCell ref="B366:B370"/>
    <mergeCell ref="B312:B317"/>
    <mergeCell ref="B318:B321"/>
    <mergeCell ref="B229:B238"/>
    <mergeCell ref="B211:B219"/>
    <mergeCell ref="A253:A258"/>
    <mergeCell ref="B254:B258"/>
    <mergeCell ref="B116:B119"/>
    <mergeCell ref="B76:B81"/>
    <mergeCell ref="C198:D198"/>
    <mergeCell ref="A49:A51"/>
    <mergeCell ref="B50:B52"/>
    <mergeCell ref="B110:B112"/>
    <mergeCell ref="A127:A130"/>
    <mergeCell ref="B170:B171"/>
    <mergeCell ref="B68:B70"/>
    <mergeCell ref="B73:B75"/>
    <mergeCell ref="B15:B19"/>
    <mergeCell ref="B39:B41"/>
    <mergeCell ref="B62:B65"/>
    <mergeCell ref="B56:B58"/>
    <mergeCell ref="B30:B32"/>
    <mergeCell ref="A42:A48"/>
    <mergeCell ref="B43:B48"/>
  </mergeCells>
  <printOptions/>
  <pageMargins left="1.3" right="0.7874015748031497" top="0.3937007874015748" bottom="0.3937007874015748" header="0.35433070866141736" footer="0.4330708661417323"/>
  <pageSetup horizontalDpi="600" verticalDpi="600" orientation="landscape" scale="84" r:id="rId1"/>
  <rowBreaks count="12" manualBreakCount="12">
    <brk id="72" max="5" man="1"/>
    <brk id="102" max="5" man="1"/>
    <brk id="133" max="5" man="1"/>
    <brk id="168" max="5" man="1"/>
    <brk id="203" max="5" man="1"/>
    <brk id="239" max="5" man="1"/>
    <brk id="274" max="5" man="1"/>
    <brk id="306" max="5" man="1"/>
    <brk id="375" max="5" man="1"/>
    <brk id="410" max="5" man="1"/>
    <brk id="447" max="5" man="1"/>
    <brk id="4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Bogumiła Walica</cp:lastModifiedBy>
  <cp:lastPrinted>2011-08-08T10:45:15Z</cp:lastPrinted>
  <dcterms:created xsi:type="dcterms:W3CDTF">2005-07-15T05:35:39Z</dcterms:created>
  <dcterms:modified xsi:type="dcterms:W3CDTF">2011-08-08T10:49:43Z</dcterms:modified>
  <cp:category/>
  <cp:version/>
  <cp:contentType/>
  <cp:contentStatus/>
</cp:coreProperties>
</file>